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ules\Desktop\2- Contrat de quartier BIZET\4- Financement de la rénovation\"/>
    </mc:Choice>
  </mc:AlternateContent>
  <bookViews>
    <workbookView xWindow="28680" yWindow="-120" windowWidth="29040" windowHeight="15720"/>
  </bookViews>
  <sheets>
    <sheet name="INTRODUCTION" sheetId="8" r:id="rId1"/>
    <sheet name="ENCODAGE DE MON PROJET" sheetId="5" r:id="rId2"/>
    <sheet name="ESTIMATIF" sheetId="4" r:id="rId3"/>
    <sheet name="PRIMES" sheetId="6" r:id="rId4"/>
  </sheets>
  <definedNames>
    <definedName name="_Hlk138758032" localSheetId="1">'ENCODAGE DE MON PROJET'!#REF!</definedName>
    <definedName name="_Hlk138758032" localSheetId="0">INTRODUCTION!#REF!</definedName>
    <definedName name="_Hlk138758033" localSheetId="1">'ENCODAGE DE MON PROJET'!#REF!</definedName>
    <definedName name="_Hlk138758033" localSheetId="0">INTRODUCTION!#REF!</definedName>
    <definedName name="_xlnm.Print_Titles" localSheetId="1">'ENCODAGE DE MON PROJET'!$3:$8</definedName>
    <definedName name="_xlnm.Print_Titles" localSheetId="2">ESTIMATIF!#REF!</definedName>
    <definedName name="_xlnm.Print_Titles" localSheetId="0">INTRODUCTION!$3:$8</definedName>
    <definedName name="_xlnm.Print_Titles" localSheetId="3">PRIMES!#REF!</definedName>
    <definedName name="_xlnm.Print_Area" localSheetId="1">'ENCODAGE DE MON PROJET'!$A$2:$M$424</definedName>
    <definedName name="_xlnm.Print_Area" localSheetId="2">ESTIMATIF!$A$2:$N$198</definedName>
    <definedName name="_xlnm.Print_Area" localSheetId="0">INTRODUCTION!$A$2:$M$87</definedName>
    <definedName name="_xlnm.Print_Area" localSheetId="3">PRIMES!$A$2:$N$93</definedName>
  </definedNames>
  <calcPr calcId="162913"/>
</workbook>
</file>

<file path=xl/calcChain.xml><?xml version="1.0" encoding="utf-8"?>
<calcChain xmlns="http://schemas.openxmlformats.org/spreadsheetml/2006/main">
  <c r="F47" i="8" l="1"/>
  <c r="F48" i="8"/>
  <c r="F49" i="8"/>
  <c r="F50" i="8"/>
  <c r="F51" i="8"/>
  <c r="F52" i="8"/>
  <c r="F53" i="8"/>
  <c r="E53" i="8"/>
  <c r="E54" i="8"/>
  <c r="F54" i="8"/>
  <c r="F58" i="8"/>
  <c r="F59" i="8"/>
  <c r="F63" i="8"/>
  <c r="F56" i="8"/>
  <c r="E63" i="8"/>
  <c r="E62" i="8"/>
  <c r="E61" i="8"/>
  <c r="E59" i="8"/>
  <c r="E58" i="8"/>
  <c r="E57" i="8"/>
  <c r="E56" i="8"/>
  <c r="E52" i="8"/>
  <c r="E51" i="8"/>
  <c r="E50" i="8"/>
  <c r="E49" i="8"/>
  <c r="E48" i="8"/>
  <c r="E47" i="8"/>
  <c r="F135" i="4"/>
  <c r="F103" i="4"/>
  <c r="F102" i="4"/>
  <c r="E127" i="4"/>
  <c r="E124" i="4"/>
  <c r="E50" i="6"/>
  <c r="E55" i="6" s="1"/>
  <c r="E60" i="6" s="1"/>
  <c r="E49" i="6"/>
  <c r="E32" i="6"/>
  <c r="E36" i="6" s="1"/>
  <c r="E122" i="4"/>
  <c r="E125" i="4"/>
  <c r="E128" i="4"/>
  <c r="G63" i="5"/>
  <c r="E66" i="4"/>
  <c r="F67" i="4"/>
  <c r="F101" i="4"/>
  <c r="E31" i="5"/>
  <c r="I83" i="6"/>
  <c r="F83" i="6"/>
  <c r="I82" i="6"/>
  <c r="F82" i="6"/>
  <c r="I79" i="6"/>
  <c r="F79" i="6"/>
  <c r="I78" i="6"/>
  <c r="F78" i="6"/>
  <c r="I77" i="6"/>
  <c r="F77" i="6"/>
  <c r="I76" i="6"/>
  <c r="F76" i="6"/>
  <c r="I75" i="6"/>
  <c r="F75" i="6"/>
  <c r="F72" i="6"/>
  <c r="L72" i="6" s="1"/>
  <c r="I71" i="6"/>
  <c r="I66" i="6"/>
  <c r="E65" i="6"/>
  <c r="E68" i="6" s="1"/>
  <c r="I63" i="6"/>
  <c r="I56" i="6"/>
  <c r="I51" i="6"/>
  <c r="E47" i="6"/>
  <c r="E57" i="6" s="1"/>
  <c r="I46" i="6"/>
  <c r="I45" i="6"/>
  <c r="F39" i="6"/>
  <c r="I35" i="6"/>
  <c r="I31" i="6"/>
  <c r="I27" i="6"/>
  <c r="E25" i="6"/>
  <c r="E33" i="6" s="1"/>
  <c r="I23" i="6"/>
  <c r="F22" i="6"/>
  <c r="E17" i="6"/>
  <c r="I16" i="6"/>
  <c r="I136" i="4"/>
  <c r="F136" i="4"/>
  <c r="E24" i="6"/>
  <c r="E51" i="4"/>
  <c r="F50" i="4" s="1"/>
  <c r="L50" i="4" s="1"/>
  <c r="E46" i="4"/>
  <c r="F45" i="6"/>
  <c r="F140" i="4"/>
  <c r="E86" i="4"/>
  <c r="E88" i="4" s="1"/>
  <c r="F87" i="4" s="1"/>
  <c r="E40" i="4"/>
  <c r="E39" i="4"/>
  <c r="E38" i="4"/>
  <c r="G255" i="5"/>
  <c r="E36" i="4"/>
  <c r="E35" i="4"/>
  <c r="E34" i="4"/>
  <c r="G30" i="5"/>
  <c r="G29" i="5"/>
  <c r="G28" i="5"/>
  <c r="E71" i="4" l="1"/>
  <c r="F37" i="4"/>
  <c r="F33" i="4"/>
  <c r="L33" i="4" s="1"/>
  <c r="F85" i="4"/>
  <c r="E37" i="6"/>
  <c r="E29" i="6"/>
  <c r="L78" i="6"/>
  <c r="L82" i="6"/>
  <c r="L83" i="6"/>
  <c r="L75" i="6"/>
  <c r="L76" i="6"/>
  <c r="L79" i="6"/>
  <c r="L77" i="6"/>
  <c r="L45" i="6"/>
  <c r="E28" i="6"/>
  <c r="E52" i="6"/>
  <c r="L136" i="4"/>
  <c r="F22" i="4" l="1"/>
  <c r="L22" i="4" s="1"/>
  <c r="G61" i="5"/>
  <c r="G62" i="5"/>
  <c r="G125" i="5"/>
  <c r="G192" i="5"/>
  <c r="F93" i="4"/>
  <c r="G26" i="5"/>
  <c r="G20" i="5"/>
  <c r="G19" i="5"/>
  <c r="G25" i="5"/>
  <c r="G24" i="5"/>
  <c r="G23" i="5"/>
  <c r="G401" i="5"/>
  <c r="G375" i="5"/>
  <c r="G372" i="5"/>
  <c r="G335" i="5"/>
  <c r="G334" i="5"/>
  <c r="G314" i="5"/>
  <c r="G313" i="5"/>
  <c r="G294" i="5"/>
  <c r="G293" i="5"/>
  <c r="G254" i="5"/>
  <c r="G253" i="5"/>
  <c r="G252" i="5"/>
  <c r="G212" i="5"/>
  <c r="G124" i="5"/>
  <c r="G123" i="5"/>
  <c r="G85" i="5"/>
  <c r="G18" i="5"/>
  <c r="G17" i="5"/>
  <c r="G231" i="5"/>
  <c r="L140" i="4"/>
  <c r="F139" i="4"/>
  <c r="F137" i="4"/>
  <c r="F138" i="4" s="1"/>
  <c r="L138" i="4" s="1"/>
  <c r="F132" i="4"/>
  <c r="F149" i="4"/>
  <c r="F148" i="4"/>
  <c r="E49" i="4"/>
  <c r="F48" i="4" s="1"/>
  <c r="G232" i="5" l="1"/>
  <c r="F71" i="6"/>
  <c r="L71" i="6" s="1"/>
  <c r="G173" i="5"/>
  <c r="E19" i="6"/>
  <c r="G154" i="5"/>
  <c r="E18" i="6"/>
  <c r="E48" i="6"/>
  <c r="F46" i="6" s="1"/>
  <c r="G256" i="5"/>
  <c r="E64" i="6"/>
  <c r="G104" i="5"/>
  <c r="E26" i="6"/>
  <c r="F133" i="4"/>
  <c r="L133" i="4" s="1"/>
  <c r="F134" i="4"/>
  <c r="G64" i="5"/>
  <c r="E67" i="6" l="1"/>
  <c r="F63" i="6"/>
  <c r="F66" i="6" s="1"/>
  <c r="L66" i="6" s="1"/>
  <c r="F16" i="6"/>
  <c r="L16" i="6" s="1"/>
  <c r="E59" i="6"/>
  <c r="E54" i="6"/>
  <c r="E58" i="6"/>
  <c r="L46" i="6"/>
  <c r="E53" i="6"/>
  <c r="E34" i="6"/>
  <c r="F31" i="6" s="1"/>
  <c r="L31" i="6" s="1"/>
  <c r="E30" i="6"/>
  <c r="E38" i="6"/>
  <c r="F35" i="6" s="1"/>
  <c r="L35" i="6" s="1"/>
  <c r="F23" i="6"/>
  <c r="L23" i="6" s="1"/>
  <c r="L134" i="4"/>
  <c r="E65" i="4"/>
  <c r="E64" i="4"/>
  <c r="E63" i="4"/>
  <c r="E29" i="4"/>
  <c r="E119" i="4"/>
  <c r="I115" i="4"/>
  <c r="L63" i="6" l="1"/>
  <c r="F27" i="6"/>
  <c r="L27" i="6" s="1"/>
  <c r="F56" i="6"/>
  <c r="L56" i="6" s="1"/>
  <c r="F51" i="6"/>
  <c r="L51" i="6" s="1"/>
  <c r="F62" i="4"/>
  <c r="L62" i="4" s="1"/>
  <c r="F42" i="4"/>
  <c r="L42" i="4" s="1"/>
  <c r="F21" i="4"/>
  <c r="E24" i="4"/>
  <c r="F153" i="4" l="1"/>
  <c r="L153" i="4" s="1"/>
  <c r="F152" i="4"/>
  <c r="L152" i="4" s="1"/>
  <c r="F151" i="4"/>
  <c r="L151" i="4" s="1"/>
  <c r="F150" i="4"/>
  <c r="L150" i="4" s="1"/>
  <c r="L149" i="4"/>
  <c r="L148" i="4"/>
  <c r="F147" i="4"/>
  <c r="L147" i="4" s="1"/>
  <c r="F146" i="4"/>
  <c r="L146" i="4" s="1"/>
  <c r="F145" i="4"/>
  <c r="L145" i="4" s="1"/>
  <c r="F144" i="4"/>
  <c r="L144" i="4" s="1"/>
  <c r="F143" i="4"/>
  <c r="L143" i="4" s="1"/>
  <c r="L135" i="4"/>
  <c r="L132" i="4"/>
  <c r="F97" i="4" l="1"/>
  <c r="L97" i="4" s="1"/>
  <c r="F115" i="4"/>
  <c r="L115" i="4" s="1"/>
  <c r="E32" i="4"/>
  <c r="E121" i="4"/>
  <c r="F120" i="4"/>
  <c r="L120" i="4" s="1"/>
  <c r="L101" i="4"/>
  <c r="F155" i="4"/>
  <c r="L139" i="4"/>
  <c r="E42" i="6" s="1"/>
  <c r="E108" i="4"/>
  <c r="E114" i="4" s="1"/>
  <c r="E107" i="4"/>
  <c r="E90" i="4"/>
  <c r="E74" i="4"/>
  <c r="E77" i="4" s="1"/>
  <c r="E73" i="4"/>
  <c r="E70" i="4"/>
  <c r="E69" i="4"/>
  <c r="E68" i="4"/>
  <c r="F58" i="4"/>
  <c r="L58" i="4" s="1"/>
  <c r="F54" i="4"/>
  <c r="L54" i="4" s="1"/>
  <c r="E47" i="4"/>
  <c r="F41" i="4"/>
  <c r="L41" i="4" s="1"/>
  <c r="L37" i="4"/>
  <c r="F20" i="4"/>
  <c r="E25" i="4"/>
  <c r="E31" i="4"/>
  <c r="L16" i="4"/>
  <c r="F30" i="4" l="1"/>
  <c r="L30" i="4" s="1"/>
  <c r="E76" i="4"/>
  <c r="F75" i="4" s="1"/>
  <c r="L75" i="4" s="1"/>
  <c r="F72" i="4"/>
  <c r="L72" i="4" s="1"/>
  <c r="F89" i="4"/>
  <c r="L89" i="4" s="1"/>
  <c r="L103" i="4"/>
  <c r="L102" i="4"/>
  <c r="L85" i="4"/>
  <c r="L87" i="4"/>
  <c r="F106" i="4"/>
  <c r="L106" i="4" s="1"/>
  <c r="E99" i="4"/>
  <c r="E28" i="4"/>
  <c r="E118" i="4"/>
  <c r="E117" i="4"/>
  <c r="E100" i="4"/>
  <c r="E27" i="4"/>
  <c r="I155" i="4"/>
  <c r="L155" i="4" s="1"/>
  <c r="E110" i="4"/>
  <c r="F126" i="4"/>
  <c r="L126" i="4" s="1"/>
  <c r="F123" i="4"/>
  <c r="L123" i="4" s="1"/>
  <c r="E111" i="4"/>
  <c r="E113" i="4"/>
  <c r="F112" i="4" s="1"/>
  <c r="L112" i="4" s="1"/>
  <c r="E96" i="4"/>
  <c r="F95" i="4" s="1"/>
  <c r="L95" i="4" s="1"/>
  <c r="I22" i="6" s="1"/>
  <c r="L22" i="6" s="1"/>
  <c r="F94" i="4"/>
  <c r="L94" i="4" s="1"/>
  <c r="E92" i="4"/>
  <c r="F55" i="4"/>
  <c r="L55" i="4" s="1"/>
  <c r="E79" i="4"/>
  <c r="E80" i="4"/>
  <c r="L67" i="4"/>
  <c r="F45" i="4"/>
  <c r="L45" i="4" s="1"/>
  <c r="F23" i="4"/>
  <c r="L23" i="4" s="1"/>
  <c r="F78" i="4" l="1"/>
  <c r="L78" i="4" s="1"/>
  <c r="F26" i="4"/>
  <c r="L26" i="4" s="1"/>
  <c r="F116" i="4"/>
  <c r="L116" i="4" s="1"/>
  <c r="F98" i="4"/>
  <c r="L98" i="4" s="1"/>
  <c r="L21" i="4"/>
  <c r="F109" i="4"/>
  <c r="L109" i="4" s="1"/>
  <c r="L137" i="4"/>
  <c r="E41" i="6" s="1"/>
  <c r="F56" i="4"/>
  <c r="E40" i="6" l="1"/>
  <c r="I39" i="6" s="1"/>
  <c r="L39" i="6" s="1"/>
  <c r="I13" i="6" s="1"/>
  <c r="L13" i="6" s="1"/>
  <c r="L88" i="6" s="1"/>
  <c r="K74" i="8" s="1"/>
  <c r="F57" i="4"/>
  <c r="L57" i="4" s="1"/>
  <c r="L56" i="4"/>
  <c r="F59" i="4" l="1"/>
  <c r="L59" i="4" s="1"/>
  <c r="L189" i="4"/>
  <c r="L182" i="4"/>
  <c r="L20" i="4" l="1"/>
  <c r="I17" i="4" s="1"/>
  <c r="F91" i="4"/>
  <c r="L91" i="4" s="1"/>
  <c r="L48" i="4"/>
  <c r="L93" i="4"/>
  <c r="L158" i="4" l="1"/>
  <c r="L17" i="4"/>
  <c r="I15" i="4" l="1"/>
  <c r="L15" i="4" s="1"/>
  <c r="L160" i="4" l="1"/>
  <c r="K67" i="8" s="1"/>
  <c r="L162" i="4" l="1"/>
  <c r="L164" i="4" s="1"/>
  <c r="L166" i="4" s="1"/>
  <c r="L168" i="4" s="1"/>
  <c r="K69" i="8" s="1"/>
  <c r="I173" i="4"/>
  <c r="L173" i="4" s="1"/>
  <c r="L191" i="4" s="1"/>
  <c r="K68" i="8" l="1"/>
  <c r="L193" i="4"/>
  <c r="K70" i="8" s="1"/>
  <c r="K75" i="8" s="1"/>
</calcChain>
</file>

<file path=xl/sharedStrings.xml><?xml version="1.0" encoding="utf-8"?>
<sst xmlns="http://schemas.openxmlformats.org/spreadsheetml/2006/main" count="1222" uniqueCount="480">
  <si>
    <t>FF</t>
  </si>
  <si>
    <t>%</t>
  </si>
  <si>
    <t>Honoraires architecte</t>
  </si>
  <si>
    <t>TVA frais d'étude</t>
  </si>
  <si>
    <t>htva</t>
  </si>
  <si>
    <t>tvac</t>
  </si>
  <si>
    <t>non compris</t>
  </si>
  <si>
    <t>x</t>
  </si>
  <si>
    <t>=</t>
  </si>
  <si>
    <t>Estimatif budgétaire du coût de construction</t>
  </si>
  <si>
    <t>Techniques</t>
  </si>
  <si>
    <t>m²</t>
  </si>
  <si>
    <t>pce</t>
  </si>
  <si>
    <t>Containers</t>
  </si>
  <si>
    <t>Honoraires PEB</t>
  </si>
  <si>
    <t>Démolitions</t>
  </si>
  <si>
    <t>toiture principale</t>
  </si>
  <si>
    <t>Plafonnage</t>
  </si>
  <si>
    <t>TOTAL TRAVAUX + IMPREVUS + HONORAIRES TTC</t>
  </si>
  <si>
    <t>Frais d'étude (estimatif)</t>
  </si>
  <si>
    <t>TOTAL travaux + imprévus tvac</t>
  </si>
  <si>
    <t>TOTAL travaux + imprévus htva</t>
  </si>
  <si>
    <t>TOTAL travaux htva</t>
  </si>
  <si>
    <t>ml</t>
  </si>
  <si>
    <t>calculé sur base du montant des travaux htva</t>
  </si>
  <si>
    <t>Réserve pour postes non repris dans ce tableau et qui seront développés lors de la réalisation du dossier d'appel d'offre</t>
  </si>
  <si>
    <t>4 à 5%</t>
  </si>
  <si>
    <t>sous réserve de chantier réalisé par une entreprise générale (+0,5% par entreprise supplémentaire)</t>
  </si>
  <si>
    <t>NON</t>
  </si>
  <si>
    <t>Toiture principale à versants</t>
  </si>
  <si>
    <t>Toiture plate d'extension</t>
  </si>
  <si>
    <t>Toiture principale plate</t>
  </si>
  <si>
    <t>Façade avant</t>
  </si>
  <si>
    <t>Façade arrière principale</t>
  </si>
  <si>
    <t>Mitoyens</t>
  </si>
  <si>
    <t>Châssis</t>
  </si>
  <si>
    <t>Porte d'entrée</t>
  </si>
  <si>
    <t>Fenêtres de toiture en pente</t>
  </si>
  <si>
    <t>Dalle de sol</t>
  </si>
  <si>
    <t>Plafond des caves</t>
  </si>
  <si>
    <t>Chaudière</t>
  </si>
  <si>
    <t>Ventilation</t>
  </si>
  <si>
    <t>Panneaux photovoltaïques</t>
  </si>
  <si>
    <t>Fenêtres de toiture plate</t>
  </si>
  <si>
    <t>États des lieux</t>
  </si>
  <si>
    <t>Travaux préparatoires</t>
  </si>
  <si>
    <t>Installation de chantier</t>
  </si>
  <si>
    <t>Démolition de la chape existante</t>
  </si>
  <si>
    <t>Catégorie de revenus</t>
  </si>
  <si>
    <t>Démolition des DEP</t>
  </si>
  <si>
    <t>OUI</t>
  </si>
  <si>
    <t>Démolition habillage de corniche</t>
  </si>
  <si>
    <t>façade avant</t>
  </si>
  <si>
    <t>façade arrière principale</t>
  </si>
  <si>
    <t>façade annexe</t>
  </si>
  <si>
    <t>toiture annexe</t>
  </si>
  <si>
    <t>Démolition ancienne étanchéité</t>
  </si>
  <si>
    <t>toiture plate principale</t>
  </si>
  <si>
    <t>toiture plate annexe</t>
  </si>
  <si>
    <t>&gt; surface à rénover</t>
  </si>
  <si>
    <t>&gt; j'isole</t>
  </si>
  <si>
    <t>&gt; je refais la charpente</t>
  </si>
  <si>
    <t>TRAVAUX :</t>
  </si>
  <si>
    <t>Découpe de seuils en pierre bleue</t>
  </si>
  <si>
    <t>&gt; surface à rénover (fenêtres déduites)</t>
  </si>
  <si>
    <t>&gt; je remplace</t>
  </si>
  <si>
    <t>&gt; par du vitrage</t>
  </si>
  <si>
    <t>&gt; nombre à remplacer</t>
  </si>
  <si>
    <t>&gt; surface totale à remplacer</t>
  </si>
  <si>
    <t>&gt; par</t>
  </si>
  <si>
    <t>&gt; j'installe des panneaux photovoltaïques</t>
  </si>
  <si>
    <t>&gt; j'isole par l'extérieur</t>
  </si>
  <si>
    <t>&gt; j'isole par l'intérieur</t>
  </si>
  <si>
    <t>Décapage plâtre</t>
  </si>
  <si>
    <t>Isolation thermique de dalle</t>
  </si>
  <si>
    <t>&gt; structure :</t>
  </si>
  <si>
    <t>dalle sur sol</t>
  </si>
  <si>
    <t>plafond des caves</t>
  </si>
  <si>
    <t>Isolation en fibre de bois entre gîtes - 12 cm</t>
  </si>
  <si>
    <t>Isolation en PUR/PIR - 12 cm</t>
  </si>
  <si>
    <t>Isolation par l'intérieur</t>
  </si>
  <si>
    <t>Treillis colle</t>
  </si>
  <si>
    <t>Pose Blocs Multipor - 8 cm</t>
  </si>
  <si>
    <t>Cimentage</t>
  </si>
  <si>
    <t>Isolation contour des baies en thermogyp</t>
  </si>
  <si>
    <t>Enduit sur isolant</t>
  </si>
  <si>
    <t>Fourniture Blocs Multipor - 8 cm</t>
  </si>
  <si>
    <t>Enduit sur panneaux isolants EPS graphité - 20 cm</t>
  </si>
  <si>
    <t>Isolation enterrée</t>
  </si>
  <si>
    <t>Enduit sur panneaux fibre de bois - 20 cm</t>
  </si>
  <si>
    <t>Déblais pour isolation enterrée</t>
  </si>
  <si>
    <t>Étanchéité pour isolation enterrée</t>
  </si>
  <si>
    <t>Isolation de toiture à versants</t>
  </si>
  <si>
    <t>Isolation en sarking en PIR/PUR - 16 cm</t>
  </si>
  <si>
    <t>Isolation en sarking en fibre de bois - 18 cm</t>
  </si>
  <si>
    <t>Pare-vapeur et accessoires</t>
  </si>
  <si>
    <t>Faux-plafond</t>
  </si>
  <si>
    <t>Couvre-mur</t>
  </si>
  <si>
    <t>Remplacement des chevrons</t>
  </si>
  <si>
    <t>chevrons</t>
  </si>
  <si>
    <t>Isolation de toiture plate</t>
  </si>
  <si>
    <t>Panneaux d'isolation PIR/PUR - 12 cm</t>
  </si>
  <si>
    <t>Panneaux de fibre de bois - 20 cm</t>
  </si>
  <si>
    <t>Étanchéité de toiture plate EPDM</t>
  </si>
  <si>
    <t>Fenêtre de toiture à versants</t>
  </si>
  <si>
    <t>Fenêtre de toiture plate</t>
  </si>
  <si>
    <t>Travaux d'étanchéité à l'air</t>
  </si>
  <si>
    <t>Bouches de sortie</t>
  </si>
  <si>
    <t>Solin pour raccords</t>
  </si>
  <si>
    <t>Rive en zinc avec casse-goutte</t>
  </si>
  <si>
    <t>Profil de finition extérieure alu</t>
  </si>
  <si>
    <t>Menuiserie extérieure</t>
  </si>
  <si>
    <t>Sifflets ou chape de pente</t>
  </si>
  <si>
    <t>Ballon d'eau chaude sanitaire</t>
  </si>
  <si>
    <t>Conduit d'évacuation des gaz brûlés</t>
  </si>
  <si>
    <t>Boiler thermodynamique</t>
  </si>
  <si>
    <t>Pompe à chaleur</t>
  </si>
  <si>
    <t>&gt; nombre de radiateurs</t>
  </si>
  <si>
    <t>Remplacement des radiateurs</t>
  </si>
  <si>
    <t>&gt; j'installe un système de ventilation</t>
  </si>
  <si>
    <t>&gt; type de ventilation</t>
  </si>
  <si>
    <t>Ventilation : extracteurs individuels</t>
  </si>
  <si>
    <t>Ventilation : installation d'un système D</t>
  </si>
  <si>
    <t>Réception par un organisme agréé</t>
  </si>
  <si>
    <t>Test complet de l'installation</t>
  </si>
  <si>
    <t>Démolition tuile + pare-pluie + lattage</t>
  </si>
  <si>
    <t>&gt; nombre à remplacer en façade avant</t>
  </si>
  <si>
    <t>Dépose et évacuation de corps de chauffe</t>
  </si>
  <si>
    <t>Seuils en aluminium thermolaqué</t>
  </si>
  <si>
    <t>compris au poste châssis</t>
  </si>
  <si>
    <t>Remsie en l'état de gouttière / corniche</t>
  </si>
  <si>
    <t>Châssis bois</t>
  </si>
  <si>
    <t>si nécessaire</t>
  </si>
  <si>
    <t>valeur indicative si les conditions ne sont pas remplies pour appliquer une réduction de groupée.</t>
  </si>
  <si>
    <t>Honoraires stabilité (estimatif)</t>
  </si>
  <si>
    <t>Estimation des primes</t>
  </si>
  <si>
    <t>1.1</t>
  </si>
  <si>
    <t>1.1.1</t>
  </si>
  <si>
    <t>1.1.2</t>
  </si>
  <si>
    <t>1.1.3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</si>
  <si>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</si>
  <si>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</si>
  <si>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</si>
  <si>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</si>
  <si>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</si>
  <si>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</si>
  <si>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</si>
  <si>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</si>
  <si>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1.2.8</t>
  </si>
  <si>
    <t>1.2.9</t>
  </si>
  <si>
    <t>1.3</t>
  </si>
  <si>
    <t>1.3.1</t>
  </si>
  <si>
    <t>1.3.2</t>
  </si>
  <si>
    <t>1.4</t>
  </si>
  <si>
    <t>1.4.1</t>
  </si>
  <si>
    <t>1.4.2</t>
  </si>
  <si>
    <t>1.4.3</t>
  </si>
  <si>
    <t>1.4.4</t>
  </si>
  <si>
    <t>1.4.5</t>
  </si>
  <si>
    <t>1.4.6</t>
  </si>
  <si>
    <t>1.5</t>
  </si>
  <si>
    <t>1.5.1</t>
  </si>
  <si>
    <t>1.5.2</t>
  </si>
  <si>
    <t>1.5.3</t>
  </si>
  <si>
    <t>1.5.4</t>
  </si>
  <si>
    <t>1.5.5</t>
  </si>
  <si>
    <t>1.5.6</t>
  </si>
  <si>
    <t>1.5.7</t>
  </si>
  <si>
    <t>1.6</t>
  </si>
  <si>
    <t>1.6.1</t>
  </si>
  <si>
    <t>1.6.2</t>
  </si>
  <si>
    <t>1.6.3</t>
  </si>
  <si>
    <t>1.6.4</t>
  </si>
  <si>
    <t>1.6.5</t>
  </si>
  <si>
    <t>1.6.6</t>
  </si>
  <si>
    <t>1.6.7</t>
  </si>
  <si>
    <t>1.6.8</t>
  </si>
  <si>
    <t>1.6.9</t>
  </si>
  <si>
    <t>1.6.10</t>
  </si>
  <si>
    <t>1.6.11</t>
  </si>
  <si>
    <t>1.6.12</t>
  </si>
  <si>
    <t>1.7</t>
  </si>
  <si>
    <t>1.7.1</t>
  </si>
  <si>
    <t>1.7.2</t>
  </si>
  <si>
    <t>1.7.3</t>
  </si>
  <si>
    <t>1.7.4</t>
  </si>
  <si>
    <t>1.7.5</t>
  </si>
  <si>
    <t>1.7.6</t>
  </si>
  <si>
    <t>1.7.7</t>
  </si>
  <si>
    <t>1.7.8</t>
  </si>
  <si>
    <t>1.7.9</t>
  </si>
  <si>
    <t>1.8</t>
  </si>
  <si>
    <t>1.8.1</t>
  </si>
  <si>
    <t>1.8.2</t>
  </si>
  <si>
    <t>1.8.3</t>
  </si>
  <si>
    <t>1.8.4</t>
  </si>
  <si>
    <t>1.9</t>
  </si>
  <si>
    <t>1.9.1</t>
  </si>
  <si>
    <t>1.9.2</t>
  </si>
  <si>
    <t>1.9.3</t>
  </si>
  <si>
    <t>1.9.4</t>
  </si>
  <si>
    <t>1.9.5</t>
  </si>
  <si>
    <t>1.9.6</t>
  </si>
  <si>
    <t>1.9.7</t>
  </si>
  <si>
    <t>1.9.8</t>
  </si>
  <si>
    <t>1.9.9</t>
  </si>
  <si>
    <t>1.9.10</t>
  </si>
  <si>
    <t>1.9.11</t>
  </si>
  <si>
    <t>1.9.12</t>
  </si>
  <si>
    <t>1.9.13</t>
  </si>
  <si>
    <t>1.10</t>
  </si>
  <si>
    <t>2.1</t>
  </si>
  <si>
    <t>2.2</t>
  </si>
  <si>
    <t>2.3</t>
  </si>
  <si>
    <t>2.4</t>
  </si>
  <si>
    <t>3.1</t>
  </si>
  <si>
    <t>3.1.1</t>
  </si>
  <si>
    <t>Prime A : services et études</t>
  </si>
  <si>
    <t>3.2</t>
  </si>
  <si>
    <t>Classe I</t>
  </si>
  <si>
    <t>Prime E : toiture</t>
  </si>
  <si>
    <t>3.3</t>
  </si>
  <si>
    <t>3.2.1</t>
  </si>
  <si>
    <t>3.3.1</t>
  </si>
  <si>
    <t>A4 Suivi architecte</t>
  </si>
  <si>
    <t>B1 Protection et échafaudage</t>
  </si>
  <si>
    <t>E1 Structures de la toiture</t>
  </si>
  <si>
    <t>Prime B : installation de chantier</t>
  </si>
  <si>
    <t>E2 Couverture et étanchéité</t>
  </si>
  <si>
    <t>toiture versants principale</t>
  </si>
  <si>
    <t>Tuile - y compris sous-toiture et lattage/contre-lattage</t>
  </si>
  <si>
    <t>E3 Isolation thermique de la toiture</t>
  </si>
  <si>
    <t>E4 Accessoires de toiture</t>
  </si>
  <si>
    <t>Descentes d'eau pluviales</t>
  </si>
  <si>
    <t>3.4</t>
  </si>
  <si>
    <t>Prime F : Façades</t>
  </si>
  <si>
    <t>F1 Isolation thermique des façades par l'intérieur</t>
  </si>
  <si>
    <t>F1 Isolation thermique des façades par l'extérieur</t>
  </si>
  <si>
    <t>E2 Complément pour matériau écologique</t>
  </si>
  <si>
    <t>E3 Complément pour matériau écologique</t>
  </si>
  <si>
    <t>F1 Complément pour matériau écologique</t>
  </si>
  <si>
    <t>F3 Enduit</t>
  </si>
  <si>
    <t>3.5</t>
  </si>
  <si>
    <t>Prime G : Portes et fenêtres extérieures</t>
  </si>
  <si>
    <t>G1 Placement et remplacement de portes et fenêtres : bois</t>
  </si>
  <si>
    <t>Complément pour bois FSC</t>
  </si>
  <si>
    <t>G1 Complément pour bois FSC</t>
  </si>
  <si>
    <t>châssis</t>
  </si>
  <si>
    <t>porte d'entrée</t>
  </si>
  <si>
    <t>Prime H : Sol et planchers</t>
  </si>
  <si>
    <t>H1 Isolation thermique de sol et plancher</t>
  </si>
  <si>
    <t>3.6</t>
  </si>
  <si>
    <t>3.7</t>
  </si>
  <si>
    <t>Prime J : Chauffage et chauffe-eau</t>
  </si>
  <si>
    <t>H1 Complément pour matériau écologique</t>
  </si>
  <si>
    <t>J5 Radiateurs basse température</t>
  </si>
  <si>
    <t>J4 Chauffage via pompe à chaleur air/eau</t>
  </si>
  <si>
    <t>J6 Régulation thermique : vanne thermostatique</t>
  </si>
  <si>
    <t>J6 Régulation thermique : thermostat</t>
  </si>
  <si>
    <t>J9 Chauffe-eau via pompe à chaleur</t>
  </si>
  <si>
    <t>3.8</t>
  </si>
  <si>
    <t>Prime M: Ventilation mécanique contrôlée</t>
  </si>
  <si>
    <t>M1 Système C</t>
  </si>
  <si>
    <t>M2 Système D</t>
  </si>
  <si>
    <t>TOTAL PRIMES (plafond 50.000 €)</t>
  </si>
  <si>
    <t>TOTAL TRAVAUX + IMPREVUS + HONORAIRES TTC - PRIMES</t>
  </si>
  <si>
    <t>Quartier Bizet - 1070 Anderlecht</t>
  </si>
  <si>
    <t>MA SITUATION ET MON LOGEMENT :</t>
  </si>
  <si>
    <t>Dimensions</t>
  </si>
  <si>
    <t>Je choisis d'utiliser des matériaux écologiques</t>
  </si>
  <si>
    <t>m</t>
  </si>
  <si>
    <t>&gt; surface brute de plancher</t>
  </si>
  <si>
    <t>&gt; nombre de panneaux</t>
  </si>
  <si>
    <t>Complément pour triple vitrage</t>
  </si>
  <si>
    <t>plancher béton</t>
  </si>
  <si>
    <t>chaudière</t>
  </si>
  <si>
    <t>C (simple flux)</t>
  </si>
  <si>
    <t>https://geodata.environnement.brussels/client/solar/</t>
  </si>
  <si>
    <t>https://renolution.brussels/fr/les-categories-de-revenus-2023</t>
  </si>
  <si>
    <t>Encodage des données</t>
  </si>
  <si>
    <t>https://renolution.brussels/fr/les-primes-renolution-2023</t>
  </si>
  <si>
    <t>Façade d'extension</t>
  </si>
  <si>
    <t>valeur indicative si un permis est nécessaire et que les conditions ne sont pas remplies pour appliquer une réduction de groupe.</t>
  </si>
  <si>
    <t>Démolition de faux-plafond</t>
  </si>
  <si>
    <t>&gt; nombre de fenêtres en façade</t>
  </si>
  <si>
    <t>&gt; nombre à remplacer en façade annexe</t>
  </si>
  <si>
    <t>&gt; nombre à remplacer en façade arrière principale</t>
  </si>
  <si>
    <t>dépend des travaux envisagés</t>
  </si>
  <si>
    <t>1.2.10</t>
  </si>
  <si>
    <t>Remsie en l'état de corniche / gouttière</t>
  </si>
  <si>
    <t>Honoraires techniques spéciales (estimatif)</t>
  </si>
  <si>
    <t>Isolation entre chevrons en PIR/PUR</t>
  </si>
  <si>
    <t>Isolation entre chevrons en fibre de bois</t>
  </si>
  <si>
    <t>1.8.5</t>
  </si>
  <si>
    <t>1.8.6</t>
  </si>
  <si>
    <t>1.8.7</t>
  </si>
  <si>
    <t>1.8.8</t>
  </si>
  <si>
    <t>pour aider à déterminer le nombre de panneaux solaire, consulter la carte solaire de Bruxelles environnement</t>
  </si>
  <si>
    <t>pour déterminer la catégorie de revenu, consulter le site de Renolution</t>
  </si>
  <si>
    <t>ce document tient compte du fait que les caves ne sont ni habitées, ni chauffées</t>
  </si>
  <si>
    <r>
      <t>&gt; j'isole par l'intérieur</t>
    </r>
    <r>
      <rPr>
        <sz val="8"/>
        <rFont val="Raleway"/>
        <family val="2"/>
      </rPr>
      <t xml:space="preserve"> (mes tuiles et pare-pluie sont en bon état)</t>
    </r>
  </si>
  <si>
    <r>
      <t>&gt; j'isole par l'extérieur</t>
    </r>
    <r>
      <rPr>
        <sz val="8"/>
        <rFont val="Raleway"/>
        <family val="2"/>
      </rPr>
      <t xml:space="preserve"> (je garde les faux-plafonds)</t>
    </r>
  </si>
  <si>
    <t>remarque : bien tenir compte de la pente de toiture lors du calcul</t>
  </si>
  <si>
    <t>- Échaffaudage</t>
  </si>
  <si>
    <t>- Démolition des tuiles</t>
  </si>
  <si>
    <t>- Isolant</t>
  </si>
  <si>
    <t>- Pare-pluie</t>
  </si>
  <si>
    <t>- Pare-vapeur</t>
  </si>
  <si>
    <t>- Nouvelle tuile</t>
  </si>
  <si>
    <t>- Nouvelle gouttière ou réparation de corniche</t>
  </si>
  <si>
    <t>Ce document prend compte des travaux suivants :</t>
  </si>
  <si>
    <t>- Travaux sur lucarne éventuelle</t>
  </si>
  <si>
    <t>- Raccord avec les mitoyens</t>
  </si>
  <si>
    <t>- Travaux électriques</t>
  </si>
  <si>
    <t>- Faux-plafonds</t>
  </si>
  <si>
    <t>- Remplacement éventuel de chevrons</t>
  </si>
  <si>
    <t>Ce document ne prend pas compte des travaux suivants :</t>
  </si>
  <si>
    <t>- Nouvelle étanchéité</t>
  </si>
  <si>
    <t xml:space="preserve">  </t>
  </si>
  <si>
    <t>Découpe battée châssis</t>
  </si>
  <si>
    <t>- Découpe des battées (isolation par l'extérieur)</t>
  </si>
  <si>
    <t>- Crépi (isolation par l'extérieur)</t>
  </si>
  <si>
    <t>- Adaptations éventuelles (descentes d'eau pluviales, gouttières, corniche…)</t>
  </si>
  <si>
    <t>Isolation par l'extérieur :</t>
  </si>
  <si>
    <t>-  Travaux abords et jardins</t>
  </si>
  <si>
    <t>-  Nouveaux seuils de fenêtre</t>
  </si>
  <si>
    <t>Isolation par l'intérieur :</t>
  </si>
  <si>
    <t>- Décapage</t>
  </si>
  <si>
    <t>- Cimentage</t>
  </si>
  <si>
    <t>- Plafonnage (uniquement sur le mur concerné)</t>
  </si>
  <si>
    <t>- Isolation en blocs Multipor 10 cm</t>
  </si>
  <si>
    <t>- Plafonnage complet des pièces</t>
  </si>
  <si>
    <t>- Peinture</t>
  </si>
  <si>
    <t>- Découpe des seuils (isolation par l'extérieur)</t>
  </si>
  <si>
    <t>Remarque : l'isolation du mur mitoyen nécessite l'autorisation du voisin.</t>
  </si>
  <si>
    <t>Remarque : certaines précautions sont à prendre pour l'isolation par l'intérieur.</t>
  </si>
  <si>
    <t>Remarque : vérifier si la solution peut s'appliquer techniquement à votre projet</t>
  </si>
  <si>
    <t>Nouvelle chape</t>
  </si>
  <si>
    <t>- Démolition de la chape existante</t>
  </si>
  <si>
    <t>- Nouvelle chape</t>
  </si>
  <si>
    <t>- Électricité, égouttage, alimentation d'eau et autres techniques spéciales à refaire</t>
  </si>
  <si>
    <t>- Finitions du local (revêtement de sol, plinthes, adaptation des portes…)</t>
  </si>
  <si>
    <t>Ces travaux sont invasifs et nécessitent de refaire les techniques spéciales</t>
  </si>
  <si>
    <t>- Adaptation des éléments techniques en plafond</t>
  </si>
  <si>
    <t>- Faux-plafond</t>
  </si>
  <si>
    <t>Remarque : la hauteur sous plafond et la présence d'éléments techniques peuvent</t>
  </si>
  <si>
    <t>influer sur la faisabilité de ce point.</t>
  </si>
  <si>
    <t>- Démontage des châssis existants</t>
  </si>
  <si>
    <t>- Seuil en aluminium</t>
  </si>
  <si>
    <t>- Bande d'étanchéité à l'air</t>
  </si>
  <si>
    <t>- Plafonnage (pourtour de la baie uniquement)</t>
  </si>
  <si>
    <t>Plafonnage des tours de baie</t>
  </si>
  <si>
    <t>1.8.9</t>
  </si>
  <si>
    <t>- Rail à rideaux</t>
  </si>
  <si>
    <t>- Revêtement de sol</t>
  </si>
  <si>
    <t>- Démontage de la porte existante</t>
  </si>
  <si>
    <t>- Démontage de la fenêtre existante</t>
  </si>
  <si>
    <t>- Nouvelle fenêtre de toiture</t>
  </si>
  <si>
    <t>- Nouvelle porte isolée en bois</t>
  </si>
  <si>
    <t>- Nouveau châssis bois ('double ou triple vitrage)</t>
  </si>
  <si>
    <t>- Nouvelle fenêtre de toiture (double ou triple vitrage)</t>
  </si>
  <si>
    <t>- Dépose de la chaudière et des conduits existants</t>
  </si>
  <si>
    <t>- Nouvelle chaudière</t>
  </si>
  <si>
    <t>- Conduits (si facilement remplaçables)</t>
  </si>
  <si>
    <t>- Ballon d'eau chaude sanitaire + pompe</t>
  </si>
  <si>
    <t>Chaudière :</t>
  </si>
  <si>
    <t>- Mise en service</t>
  </si>
  <si>
    <t>- Attestation CERGA et PEB chauffage</t>
  </si>
  <si>
    <t>- Percement de la toiture ou façade</t>
  </si>
  <si>
    <t>- Nouveaux radiateurs</t>
  </si>
  <si>
    <t>- Nouveaux conduits</t>
  </si>
  <si>
    <t>- Nouveaux collecteurs</t>
  </si>
  <si>
    <t>Pompe à chaleur :</t>
  </si>
  <si>
    <t>Remarque : l'installation d'une pompe à chaleur nécessite un bâtiment très bien</t>
  </si>
  <si>
    <t>isolé et des travaux importans pour faire passer les conduits.</t>
  </si>
  <si>
    <t>- Nouvelle pompe à chaleur (unité extérieure)</t>
  </si>
  <si>
    <t>- Nouvelle pompe à chaleur (unité intérieure avec ballon intégré)</t>
  </si>
  <si>
    <t>- Nouveau boiler thermodynamique</t>
  </si>
  <si>
    <t>- Nouveaux radiateurs (ventiloconvecteurs)</t>
  </si>
  <si>
    <t>- Percements éventuels de la façade</t>
  </si>
  <si>
    <t>- Grille extérieure</t>
  </si>
  <si>
    <t>- Pose des extracteurs ou groupe de ventilation</t>
  </si>
  <si>
    <t>- Sondes de présence ou d'humidité</t>
  </si>
  <si>
    <t>- Raccordement électrique des extracteurs ou groupe de ventilation</t>
  </si>
  <si>
    <t>- Conduites</t>
  </si>
  <si>
    <t>- Évacuation des condensats</t>
  </si>
  <si>
    <t>- Percement de plancher et toiture</t>
  </si>
  <si>
    <t>- Ragréage au ciment (extérieur)</t>
  </si>
  <si>
    <t>- Réception électrique</t>
  </si>
  <si>
    <t>- Plafonnage ou ragréage intérieur</t>
  </si>
  <si>
    <t>- Peinture intérieure ou extérieure</t>
  </si>
  <si>
    <t>- Test Blower Door</t>
  </si>
  <si>
    <t>pour mieux comprendre la différence entre un simple et double flux, consulter le document "Focus sur la ventilation" de Bruxelles Environnement</t>
  </si>
  <si>
    <t>https://environnement.brussels/media/9019/download?attachment</t>
  </si>
  <si>
    <t>Remarque : installer un système de ventilation double flux nécessite des travaux</t>
  </si>
  <si>
    <t>un espace important au groupe de ventilation</t>
  </si>
  <si>
    <t>invasifs conséquents pour faire passer les conduits et nécessite de pouvoir accorder</t>
  </si>
  <si>
    <t>- Pose des panneaux</t>
  </si>
  <si>
    <t>- Ondulateur</t>
  </si>
  <si>
    <t>- Câblage entre panneaux et ondulateur</t>
  </si>
  <si>
    <t>- Réparation locale des tuiles</t>
  </si>
  <si>
    <t>- Modules complémentaires (ex : boitier intelligent)</t>
  </si>
  <si>
    <t>- Changement du compteur</t>
  </si>
  <si>
    <t>Coût travaux (estimatif)</t>
  </si>
  <si>
    <t>https://renovbizet.com/</t>
  </si>
  <si>
    <t>Ce document à compléter a été réalisé dans le cadre du projet Renov-Bizet</t>
  </si>
  <si>
    <t>Introduction</t>
  </si>
  <si>
    <t>Renov-Bizet - Rénovation groupée du quartier Bizet</t>
  </si>
  <si>
    <t>Ce document ne fournit en aucun cas les prix exacts du projet du maître d'ouvrage.</t>
  </si>
  <si>
    <t>La responsabilité de l'encodage incombe au maître d'ouvrage.</t>
  </si>
  <si>
    <t>Les prix mentionnés dans l'estimatif correspondent aux prix du marché du deuxième trimestre de 2023.</t>
  </si>
  <si>
    <t>COMMENT LIRE CE DOCUMENT :</t>
  </si>
  <si>
    <t>À PROPOS DE L'ESTIMATIF :</t>
  </si>
  <si>
    <t>Encodage</t>
  </si>
  <si>
    <t>Estimatif</t>
  </si>
  <si>
    <t>L'estimatif est complété automatiquement dans l'onglet "Estimatif".</t>
  </si>
  <si>
    <t>2.5</t>
  </si>
  <si>
    <t>Il détaille les travaux supposés pour chaque poste et reprend le total estimé des travaux qui ont été encodés.</t>
  </si>
  <si>
    <t>Primes</t>
  </si>
  <si>
    <t>Certaines primes ne sont accordées qu'aux propriétaires occupants. Pour savoir de quelles primes il s'agit, consulter le site de Renolution</t>
  </si>
  <si>
    <t>Les primes Renolution auxquelles le maître d'ouvrage est éligible est complété automatiquement dans l'onglet "Primes".</t>
  </si>
  <si>
    <t>Les données reprises sont encodées sur base des informations disponibles sur le site de Renolution en novembre 2023.</t>
  </si>
  <si>
    <t>Les montants sont indicatifs. Le document ne certifie pas que le maître d'ouvrage retouchera ces montants.</t>
  </si>
  <si>
    <t>RÉSUMÉ :</t>
  </si>
  <si>
    <t>1 ENCODAGE DE MON PROJET</t>
  </si>
  <si>
    <t>Cliquer sur les titres pour être renvoyé vers l'onglet correspondant.</t>
  </si>
  <si>
    <t>2 ESTIMATIF</t>
  </si>
  <si>
    <t>3 PRIMES</t>
  </si>
  <si>
    <t>Ce document a été élaboré dans le cadre du projet Renov-Bizet dans le but d'aider les participants à estimer eux-mêmes</t>
  </si>
  <si>
    <t>le coût des travaux de rénovation énergétique qu'ils envisagent d'entreprendre.</t>
  </si>
  <si>
    <t>si les conditions de réduction de groupe sont remplies, le pourcentage indiqué dans la convention sera appliqué.</t>
  </si>
  <si>
    <t>si les conditions de réduction de groupe sont remplies, le montant indiqué dans la convention sera appliqué.</t>
  </si>
  <si>
    <t>Cet estimatif est réalisé de manière succinte et approximative dans le but d'orienter le maître d'ouvrage.</t>
  </si>
  <si>
    <t>L'encodage se fait dans l'onglet "Encodage de mon projet".</t>
  </si>
  <si>
    <t>Vous devez remplir les cases vertes de cet onglet.</t>
  </si>
  <si>
    <r>
      <t xml:space="preserve">TVA travaux </t>
    </r>
    <r>
      <rPr>
        <sz val="9"/>
        <color theme="1"/>
        <rFont val="Raleway"/>
        <family val="2"/>
      </rPr>
      <t>(6% rénovation)</t>
    </r>
  </si>
  <si>
    <r>
      <t xml:space="preserve">imprévus/surprises </t>
    </r>
    <r>
      <rPr>
        <sz val="9"/>
        <color theme="1"/>
        <rFont val="Raleway"/>
        <family val="2"/>
      </rPr>
      <t>(prévoir 5 à 10%)</t>
    </r>
  </si>
  <si>
    <r>
      <t>&gt; nombre de pièces humides</t>
    </r>
    <r>
      <rPr>
        <sz val="9"/>
        <rFont val="Raleway"/>
        <family val="2"/>
      </rPr>
      <t xml:space="preserve"> (WC, sdb, buanderie, cuisine)</t>
    </r>
  </si>
  <si>
    <t>Des schémas accompagnent le document pour illustrer les données à remplir.</t>
  </si>
  <si>
    <r>
      <t>&gt; hauteur de ma façade principale</t>
    </r>
    <r>
      <rPr>
        <sz val="11"/>
        <color theme="3"/>
        <rFont val="Raleway"/>
        <family val="2"/>
      </rPr>
      <t xml:space="preserve"> [A]</t>
    </r>
  </si>
  <si>
    <r>
      <t>&gt; largeur de ma façade principale</t>
    </r>
    <r>
      <rPr>
        <sz val="11"/>
        <color theme="3"/>
        <rFont val="Raleway"/>
        <family val="2"/>
      </rPr>
      <t xml:space="preserve"> [B]</t>
    </r>
  </si>
  <si>
    <r>
      <t xml:space="preserve">&gt; profondeur du volume principal </t>
    </r>
    <r>
      <rPr>
        <sz val="10"/>
        <color theme="3"/>
        <rFont val="Raleway"/>
        <family val="2"/>
      </rPr>
      <t>[</t>
    </r>
    <r>
      <rPr>
        <sz val="11"/>
        <color theme="3"/>
        <rFont val="Raleway"/>
        <family val="2"/>
      </rPr>
      <t>C]</t>
    </r>
  </si>
  <si>
    <r>
      <t>&gt; nombre d'étages (hors sol)</t>
    </r>
    <r>
      <rPr>
        <sz val="11"/>
        <color theme="3"/>
        <rFont val="Raleway"/>
        <family val="2"/>
      </rPr>
      <t xml:space="preserve"> [D]</t>
    </r>
  </si>
  <si>
    <r>
      <t>&gt; mon logement a une extension</t>
    </r>
    <r>
      <rPr>
        <sz val="11"/>
        <rFont val="Raleway"/>
        <family val="2"/>
      </rPr>
      <t xml:space="preserve"> </t>
    </r>
    <r>
      <rPr>
        <sz val="11"/>
        <color theme="3"/>
        <rFont val="Raleway"/>
        <family val="2"/>
      </rPr>
      <t>[E]</t>
    </r>
  </si>
  <si>
    <r>
      <t xml:space="preserve">&gt; hauteur de l'extension </t>
    </r>
    <r>
      <rPr>
        <sz val="11"/>
        <color theme="3"/>
        <rFont val="Raleway"/>
        <family val="2"/>
      </rPr>
      <t>[F]</t>
    </r>
  </si>
  <si>
    <r>
      <t xml:space="preserve">&gt; largeur de l'extension </t>
    </r>
    <r>
      <rPr>
        <sz val="11"/>
        <color theme="3"/>
        <rFont val="Raleway"/>
        <family val="2"/>
      </rPr>
      <t>[G]</t>
    </r>
  </si>
  <si>
    <r>
      <t xml:space="preserve">&gt; profondeur de l'extension </t>
    </r>
    <r>
      <rPr>
        <sz val="11"/>
        <color theme="3"/>
        <rFont val="Raleway"/>
        <family val="2"/>
      </rPr>
      <t>[H]</t>
    </r>
  </si>
  <si>
    <r>
      <t>&gt; nombre d'étages de l'extension</t>
    </r>
    <r>
      <rPr>
        <sz val="10"/>
        <color theme="3"/>
        <rFont val="Raleway"/>
        <family val="2"/>
      </rPr>
      <t xml:space="preserve"> </t>
    </r>
    <r>
      <rPr>
        <sz val="11"/>
        <color theme="3"/>
        <rFont val="Raleway"/>
        <family val="2"/>
      </rPr>
      <t>[I]</t>
    </r>
  </si>
  <si>
    <r>
      <t>&gt; en façade avant</t>
    </r>
    <r>
      <rPr>
        <sz val="10"/>
        <color theme="3"/>
        <rFont val="Raleway"/>
        <family val="2"/>
      </rPr>
      <t xml:space="preserve"> </t>
    </r>
    <r>
      <rPr>
        <sz val="11"/>
        <color theme="3"/>
        <rFont val="Raleway"/>
        <family val="2"/>
      </rPr>
      <t>[J]</t>
    </r>
  </si>
  <si>
    <r>
      <t xml:space="preserve">&gt; en façade arrière principale </t>
    </r>
    <r>
      <rPr>
        <sz val="11"/>
        <color theme="3"/>
        <rFont val="Raleway"/>
        <family val="2"/>
      </rPr>
      <t>[K]</t>
    </r>
  </si>
  <si>
    <r>
      <t>&gt; en façade d'extension</t>
    </r>
    <r>
      <rPr>
        <sz val="10"/>
        <color theme="3"/>
        <rFont val="Raleway"/>
        <family val="2"/>
      </rPr>
      <t xml:space="preserve"> </t>
    </r>
    <r>
      <rPr>
        <sz val="11"/>
        <color theme="3"/>
        <rFont val="Raleway"/>
        <family val="2"/>
      </rPr>
      <t>[L]</t>
    </r>
  </si>
  <si>
    <t>mitoyen</t>
  </si>
  <si>
    <t>La ventilation est obligatoire lorsque les châssis sont remplacés.*</t>
  </si>
  <si>
    <t>mitoyens</t>
  </si>
  <si>
    <t>accessoires</t>
  </si>
  <si>
    <t>fenêtres de toiture plate</t>
  </si>
  <si>
    <t>fenêtres de toiture à versants</t>
  </si>
  <si>
    <t>Coordination Sécurité Santé (estimatif)</t>
  </si>
  <si>
    <t>Isolation de la toiture principale</t>
  </si>
  <si>
    <t>Isolation de la toiture d'extension</t>
  </si>
  <si>
    <t>Isolation de la toiture façade avant</t>
  </si>
  <si>
    <t>Isolation de la toiture façade arrière</t>
  </si>
  <si>
    <t>Isolation de la toiture façade d'extension</t>
  </si>
  <si>
    <t>Isolation des mitoyens</t>
  </si>
  <si>
    <t>Isolation de la dalle de sol</t>
  </si>
  <si>
    <t>Isolation du plafond des caves</t>
  </si>
  <si>
    <t xml:space="preserve">double vitrage </t>
  </si>
  <si>
    <t>Remplacement de la porte d'entrée</t>
  </si>
  <si>
    <t>Remplacement de châssis</t>
  </si>
  <si>
    <t>Remplacement de fenêtres de toiture en pente</t>
  </si>
  <si>
    <t>Remplacement de fenêtres de toiture plate</t>
  </si>
  <si>
    <t>Remplacement de chaudière</t>
  </si>
  <si>
    <t>Installation d'un système de ventilation</t>
  </si>
  <si>
    <t>Installation de panneaux photovoltaïques</t>
  </si>
  <si>
    <t>panneaux</t>
  </si>
  <si>
    <t>fenêtres</t>
  </si>
  <si>
    <t>INFORMATIONS COMPLÉMENTAIRES :</t>
  </si>
  <si>
    <t>https://websimu.wffl.be/</t>
  </si>
  <si>
    <t>Pour vous aider à connaître les prêts que vous pouvez obtenir, vous pouvez faire une simulation de prêt sur le site</t>
  </si>
  <si>
    <t xml:space="preserve"> internet du fonds du logement.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</si>
</sst>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6" formatCode="#,##0\ &quot;€&quot;;[Red]\-#,##0\ &quot;€&quot;"/>
    <numFmt numFmtId="164" formatCode="_-* #,##0.00&quot; €&quot;_-;\-* #,##0.00&quot; €&quot;_-;_-* \-??&quot; €&quot;_-;_-@_-"/>
    <numFmt numFmtId="165" formatCode="&quot;€&quot;\ #,##0;[Red]&quot;€&quot;\ \-#,##0"/>
    <numFmt numFmtId="166" formatCode="#,##0\ [$€-1];[Red]\-#,##0\ [$€-1]"/>
    <numFmt numFmtId="167" formatCode="0.0"/>
    <numFmt numFmtId="168" formatCode="0.0%"/>
    <numFmt numFmtId="169" formatCode="#,##0\ &quot;€&quot;"/>
  </numFmts>
  <fonts count="55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Raleway"/>
      <family val="2"/>
    </font>
    <font>
      <b/>
      <sz val="9"/>
      <name val="Raleway"/>
      <family val="2"/>
    </font>
    <font>
      <sz val="9"/>
      <name val="Raleway"/>
      <family val="2"/>
    </font>
    <font>
      <b/>
      <sz val="10"/>
      <name val="Raleway"/>
      <family val="2"/>
    </font>
    <font>
      <sz val="11"/>
      <name val="Raleway"/>
      <family val="2"/>
    </font>
    <font>
      <b/>
      <sz val="11"/>
      <name val="Raleway"/>
      <family val="2"/>
    </font>
    <font>
      <sz val="11"/>
      <color theme="1"/>
      <name val="Raleway"/>
      <family val="2"/>
    </font>
    <font>
      <sz val="11"/>
      <color indexed="10"/>
      <name val="Raleway"/>
      <family val="2"/>
    </font>
    <font>
      <b/>
      <sz val="11"/>
      <color theme="1"/>
      <name val="Raleway"/>
      <family val="2"/>
    </font>
    <font>
      <b/>
      <sz val="12"/>
      <color theme="1"/>
      <name val="Raleway"/>
      <family val="2"/>
    </font>
    <font>
      <sz val="11"/>
      <color theme="1" tint="0.249977111117893"/>
      <name val="Raleway"/>
      <family val="2"/>
    </font>
    <font>
      <sz val="8"/>
      <name val="Calibri"/>
      <family val="2"/>
      <scheme val="minor"/>
    </font>
    <font>
      <sz val="9"/>
      <color theme="1"/>
      <name val="Raleway"/>
      <family val="2"/>
    </font>
    <font>
      <sz val="11"/>
      <color rgb="FFFF0000"/>
      <name val="Raleway"/>
      <family val="2"/>
    </font>
    <font>
      <sz val="11"/>
      <color theme="1"/>
      <name val="Calibri"/>
      <family val="2"/>
      <scheme val="minor"/>
    </font>
    <font>
      <sz val="11"/>
      <color rgb="FF7030A0"/>
      <name val="Raleway"/>
      <family val="2"/>
    </font>
    <font>
      <b/>
      <sz val="11"/>
      <color theme="2" tint="-0.749992370372631"/>
      <name val="Raleway"/>
      <family val="2"/>
    </font>
    <font>
      <i/>
      <sz val="11"/>
      <color rgb="FF7030A0"/>
      <name val="Raleway"/>
      <family val="2"/>
    </font>
    <font>
      <sz val="11"/>
      <color theme="9" tint="-0.249977111117893"/>
      <name val="Raleway"/>
      <family val="2"/>
    </font>
    <font>
      <b/>
      <sz val="11"/>
      <color theme="9" tint="-0.249977111117893"/>
      <name val="Raleway"/>
      <family val="2"/>
    </font>
    <font>
      <b/>
      <sz val="11"/>
      <color theme="4" tint="-0.249977111117893"/>
      <name val="Raleway"/>
      <family val="2"/>
    </font>
    <font>
      <sz val="11"/>
      <color theme="4" tint="-0.249977111117893"/>
      <name val="Raleway"/>
      <family val="2"/>
    </font>
    <font>
      <i/>
      <sz val="10"/>
      <color rgb="FF3333CC"/>
      <name val="Raleway"/>
      <family val="2"/>
    </font>
    <font>
      <sz val="10"/>
      <color theme="1"/>
      <name val="Raleway"/>
      <family val="2"/>
    </font>
    <font>
      <sz val="8"/>
      <color theme="4" tint="-0.249977111117893"/>
      <name val="Raleway"/>
      <family val="2"/>
    </font>
    <font>
      <b/>
      <u/>
      <sz val="10"/>
      <name val="Raleway"/>
      <family val="2"/>
    </font>
    <font>
      <u/>
      <sz val="11"/>
      <color theme="10"/>
      <name val="Calibri"/>
      <family val="2"/>
      <scheme val="minor"/>
    </font>
    <font>
      <strike/>
      <sz val="11"/>
      <name val="Raleway"/>
      <family val="2"/>
    </font>
    <font>
      <strike/>
      <sz val="11"/>
      <color theme="1"/>
      <name val="Calibri"/>
      <family val="2"/>
      <scheme val="minor"/>
    </font>
    <font>
      <strike/>
      <sz val="9"/>
      <color theme="1"/>
      <name val="Raleway"/>
      <family val="2"/>
    </font>
    <font>
      <strike/>
      <sz val="11"/>
      <color theme="1"/>
      <name val="Raleway"/>
      <family val="2"/>
    </font>
    <font>
      <strike/>
      <sz val="9"/>
      <name val="Raleway"/>
      <family val="2"/>
    </font>
    <font>
      <strike/>
      <sz val="11"/>
      <color rgb="FFFF0000"/>
      <name val="Raleway"/>
      <family val="2"/>
    </font>
    <font>
      <sz val="10"/>
      <color rgb="FFFF0000"/>
      <name val="Raleway"/>
      <family val="2"/>
    </font>
    <font>
      <i/>
      <sz val="9"/>
      <name val="Raleway"/>
      <family val="2"/>
    </font>
    <font>
      <i/>
      <u/>
      <sz val="9"/>
      <name val="Raleway"/>
      <family val="2"/>
    </font>
    <font>
      <sz val="8"/>
      <name val="Raleway"/>
      <family val="2"/>
    </font>
    <font>
      <sz val="9"/>
      <color theme="4" tint="-0.249977111117893"/>
      <name val="Raleway"/>
      <family val="2"/>
    </font>
    <font>
      <i/>
      <u/>
      <sz val="10"/>
      <color theme="1" tint="0.249977111117893"/>
      <name val="Calibri"/>
      <family val="2"/>
      <scheme val="minor"/>
    </font>
    <font>
      <i/>
      <sz val="10"/>
      <color theme="1" tint="0.249977111117893"/>
      <name val="Raleway"/>
      <family val="2"/>
    </font>
    <font>
      <i/>
      <u/>
      <sz val="10"/>
      <color theme="1" tint="0.249977111117893"/>
      <name val="Raleway"/>
      <family val="2"/>
    </font>
    <font>
      <i/>
      <sz val="10"/>
      <color theme="1"/>
      <name val="Raleway"/>
      <family val="2"/>
    </font>
    <font>
      <i/>
      <sz val="9"/>
      <color theme="1" tint="0.249977111117893"/>
      <name val="Raleway"/>
      <family val="2"/>
    </font>
    <font>
      <i/>
      <u/>
      <sz val="9"/>
      <color theme="1" tint="0.249977111117893"/>
      <name val="Raleway"/>
      <family val="2"/>
    </font>
    <font>
      <i/>
      <sz val="11"/>
      <color theme="1" tint="0.249977111117893"/>
      <name val="Raleway"/>
      <family val="2"/>
    </font>
    <font>
      <i/>
      <u/>
      <sz val="11"/>
      <color theme="1" tint="0.249977111117893"/>
      <name val="Raleway"/>
      <family val="2"/>
    </font>
    <font>
      <i/>
      <u/>
      <sz val="10"/>
      <color theme="3"/>
      <name val="Raleway"/>
      <family val="2"/>
    </font>
    <font>
      <i/>
      <sz val="10"/>
      <color theme="3"/>
      <name val="Raleway"/>
      <family val="2"/>
    </font>
    <font>
      <b/>
      <sz val="11"/>
      <color theme="3"/>
      <name val="Raleway"/>
      <family val="2"/>
    </font>
    <font>
      <sz val="11"/>
      <color theme="3"/>
      <name val="Raleway"/>
      <family val="2"/>
    </font>
    <font>
      <u/>
      <sz val="10"/>
      <color theme="3"/>
      <name val="Raleway"/>
      <family val="2"/>
    </font>
    <font>
      <sz val="10"/>
      <color theme="3"/>
      <name val="Raleway"/>
      <family val="2"/>
    </font>
    <font>
      <u/>
      <sz val="11"/>
      <color theme="1"/>
      <name val="Raleway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ill="0" applyBorder="0" applyAlignment="0" applyProtection="0"/>
    <xf numFmtId="9" fontId="16" fillId="0" borderId="0" applyFont="0" applyFill="0" applyBorder="0" applyAlignment="0" applyProtection="0"/>
    <xf numFmtId="0" fontId="28" fillId="0" borderId="0" applyNumberFormat="0" applyFill="0" applyBorder="0" applyAlignment="0" applyProtection="0"/>
  </cellStyleXfs>
  <cellXfs count="168">
    <xf numFmtId="0" fontId="0" fillId="0" borderId="0" xfId="0"/>
    <xf numFmtId="0" fontId="8" fillId="0" borderId="0" xfId="0" applyFont="1"/>
    <xf numFmtId="166" fontId="8" fillId="0" borderId="0" xfId="0" applyNumberFormat="1" applyFont="1"/>
    <xf numFmtId="0" fontId="15" fillId="0" borderId="0" xfId="0" applyFont="1"/>
    <xf numFmtId="0" fontId="7" fillId="0" borderId="3" xfId="1" applyFont="1" applyBorder="1" applyAlignment="1">
      <alignment vertical="center"/>
    </xf>
    <xf numFmtId="0" fontId="7" fillId="0" borderId="4" xfId="1" applyFont="1" applyBorder="1" applyAlignment="1">
      <alignment vertical="center"/>
    </xf>
    <xf numFmtId="0" fontId="5" fillId="0" borderId="4" xfId="1" applyFont="1" applyBorder="1"/>
    <xf numFmtId="0" fontId="6" fillId="0" borderId="4" xfId="1" applyFont="1" applyBorder="1" applyAlignment="1">
      <alignment vertical="center"/>
    </xf>
    <xf numFmtId="0" fontId="7" fillId="0" borderId="6" xfId="1" applyFont="1" applyBorder="1"/>
    <xf numFmtId="0" fontId="6" fillId="0" borderId="7" xfId="1" applyFont="1" applyBorder="1" applyAlignment="1">
      <alignment horizontal="center"/>
    </xf>
    <xf numFmtId="0" fontId="6" fillId="0" borderId="8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49" fontId="6" fillId="0" borderId="9" xfId="1" applyNumberFormat="1" applyFont="1" applyBorder="1"/>
    <xf numFmtId="0" fontId="6" fillId="0" borderId="10" xfId="1" applyFont="1" applyBorder="1" applyAlignment="1">
      <alignment horizontal="center" vertical="center"/>
    </xf>
    <xf numFmtId="0" fontId="10" fillId="0" borderId="1" xfId="0" applyFont="1" applyBorder="1"/>
    <xf numFmtId="0" fontId="8" fillId="0" borderId="2" xfId="0" applyFont="1" applyBorder="1"/>
    <xf numFmtId="0" fontId="11" fillId="0" borderId="2" xfId="0" applyFont="1" applyBorder="1"/>
    <xf numFmtId="0" fontId="8" fillId="0" borderId="13" xfId="0" applyFont="1" applyBorder="1"/>
    <xf numFmtId="0" fontId="10" fillId="0" borderId="14" xfId="0" applyFont="1" applyBorder="1"/>
    <xf numFmtId="165" fontId="10" fillId="0" borderId="14" xfId="0" applyNumberFormat="1" applyFont="1" applyBorder="1"/>
    <xf numFmtId="0" fontId="10" fillId="0" borderId="0" xfId="0" applyFont="1"/>
    <xf numFmtId="165" fontId="10" fillId="0" borderId="0" xfId="0" applyNumberFormat="1" applyFont="1"/>
    <xf numFmtId="1" fontId="0" fillId="0" borderId="0" xfId="0" applyNumberFormat="1"/>
    <xf numFmtId="0" fontId="14" fillId="0" borderId="0" xfId="0" applyFont="1"/>
    <xf numFmtId="6" fontId="8" fillId="0" borderId="0" xfId="0" applyNumberFormat="1" applyFont="1"/>
    <xf numFmtId="9" fontId="8" fillId="0" borderId="0" xfId="0" applyNumberFormat="1" applyFont="1"/>
    <xf numFmtId="0" fontId="10" fillId="0" borderId="2" xfId="0" applyFont="1" applyBorder="1"/>
    <xf numFmtId="0" fontId="8" fillId="0" borderId="12" xfId="0" applyFont="1" applyBorder="1"/>
    <xf numFmtId="0" fontId="8" fillId="0" borderId="14" xfId="0" applyFont="1" applyBorder="1"/>
    <xf numFmtId="165" fontId="8" fillId="0" borderId="14" xfId="0" applyNumberFormat="1" applyFont="1" applyBorder="1"/>
    <xf numFmtId="165" fontId="8" fillId="0" borderId="0" xfId="0" applyNumberFormat="1" applyFont="1"/>
    <xf numFmtId="0" fontId="7" fillId="0" borderId="1" xfId="0" applyFont="1" applyBorder="1"/>
    <xf numFmtId="1" fontId="7" fillId="0" borderId="2" xfId="0" applyNumberFormat="1" applyFont="1" applyBorder="1"/>
    <xf numFmtId="0" fontId="7" fillId="0" borderId="2" xfId="0" applyFont="1" applyBorder="1"/>
    <xf numFmtId="0" fontId="7" fillId="0" borderId="12" xfId="0" applyFont="1" applyBorder="1"/>
    <xf numFmtId="0" fontId="7" fillId="0" borderId="14" xfId="0" applyFont="1" applyBorder="1"/>
    <xf numFmtId="165" fontId="7" fillId="0" borderId="14" xfId="0" applyNumberFormat="1" applyFont="1" applyBorder="1"/>
    <xf numFmtId="0" fontId="6" fillId="0" borderId="0" xfId="0" applyFont="1"/>
    <xf numFmtId="166" fontId="6" fillId="0" borderId="0" xfId="0" applyNumberFormat="1" applyFont="1"/>
    <xf numFmtId="0" fontId="6" fillId="0" borderId="0" xfId="0" applyFont="1" applyAlignment="1">
      <alignment horizontal="left"/>
    </xf>
    <xf numFmtId="0" fontId="4" fillId="0" borderId="0" xfId="0" applyFont="1"/>
    <xf numFmtId="0" fontId="12" fillId="0" borderId="0" xfId="0" applyFont="1"/>
    <xf numFmtId="2" fontId="2" fillId="0" borderId="0" xfId="1" applyNumberFormat="1" applyFont="1" applyAlignment="1">
      <alignment horizontal="left" indent="1"/>
    </xf>
    <xf numFmtId="2" fontId="5" fillId="0" borderId="0" xfId="1" applyNumberFormat="1" applyFont="1"/>
    <xf numFmtId="167" fontId="0" fillId="0" borderId="0" xfId="0" applyNumberFormat="1"/>
    <xf numFmtId="0" fontId="7" fillId="0" borderId="4" xfId="1" applyFont="1" applyBorder="1"/>
    <xf numFmtId="0" fontId="17" fillId="0" borderId="0" xfId="0" applyFont="1"/>
    <xf numFmtId="166" fontId="17" fillId="0" borderId="0" xfId="0" applyNumberFormat="1" applyFont="1"/>
    <xf numFmtId="0" fontId="19" fillId="0" borderId="0" xfId="0" applyFont="1" applyAlignment="1">
      <alignment horizontal="right"/>
    </xf>
    <xf numFmtId="166" fontId="22" fillId="0" borderId="13" xfId="0" applyNumberFormat="1" applyFont="1" applyBorder="1"/>
    <xf numFmtId="9" fontId="23" fillId="0" borderId="0" xfId="0" applyNumberFormat="1" applyFont="1"/>
    <xf numFmtId="165" fontId="23" fillId="0" borderId="0" xfId="0" applyNumberFormat="1" applyFont="1"/>
    <xf numFmtId="0" fontId="23" fillId="0" borderId="0" xfId="0" applyFont="1"/>
    <xf numFmtId="166" fontId="23" fillId="0" borderId="0" xfId="0" applyNumberFormat="1" applyFont="1"/>
    <xf numFmtId="165" fontId="21" fillId="0" borderId="11" xfId="0" applyNumberFormat="1" applyFont="1" applyBorder="1"/>
    <xf numFmtId="165" fontId="18" fillId="0" borderId="14" xfId="0" applyNumberFormat="1" applyFont="1" applyBorder="1"/>
    <xf numFmtId="6" fontId="20" fillId="0" borderId="0" xfId="0" applyNumberFormat="1" applyFont="1"/>
    <xf numFmtId="0" fontId="24" fillId="0" borderId="0" xfId="1" applyFont="1" applyAlignment="1">
      <alignment horizontal="right"/>
    </xf>
    <xf numFmtId="167" fontId="24" fillId="0" borderId="0" xfId="1" applyNumberFormat="1" applyFont="1" applyAlignment="1">
      <alignment horizontal="right"/>
    </xf>
    <xf numFmtId="166" fontId="17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169" fontId="22" fillId="0" borderId="13" xfId="0" applyNumberFormat="1" applyFont="1" applyBorder="1"/>
    <xf numFmtId="169" fontId="23" fillId="0" borderId="11" xfId="0" applyNumberFormat="1" applyFont="1" applyBorder="1" applyAlignment="1">
      <alignment horizontal="right"/>
    </xf>
    <xf numFmtId="169" fontId="23" fillId="0" borderId="0" xfId="0" applyNumberFormat="1" applyFont="1"/>
    <xf numFmtId="0" fontId="10" fillId="0" borderId="0" xfId="0" quotePrefix="1" applyFont="1" applyAlignment="1">
      <alignment horizontal="right"/>
    </xf>
    <xf numFmtId="2" fontId="5" fillId="0" borderId="0" xfId="1" applyNumberFormat="1" applyFont="1" applyAlignment="1">
      <alignment horizontal="left"/>
    </xf>
    <xf numFmtId="9" fontId="0" fillId="0" borderId="0" xfId="3" applyFont="1" applyAlignment="1">
      <alignment horizontal="right"/>
    </xf>
    <xf numFmtId="169" fontId="26" fillId="0" borderId="0" xfId="0" applyNumberFormat="1" applyFont="1"/>
    <xf numFmtId="0" fontId="2" fillId="0" borderId="0" xfId="0" applyFont="1"/>
    <xf numFmtId="0" fontId="6" fillId="0" borderId="5" xfId="1" applyFont="1" applyBorder="1" applyAlignment="1">
      <alignment vertical="center"/>
    </xf>
    <xf numFmtId="0" fontId="6" fillId="0" borderId="4" xfId="1" applyFont="1" applyBorder="1" applyAlignment="1">
      <alignment horizontal="right" vertical="center"/>
    </xf>
    <xf numFmtId="2" fontId="27" fillId="0" borderId="0" xfId="1" applyNumberFormat="1" applyFont="1"/>
    <xf numFmtId="2" fontId="2" fillId="0" borderId="0" xfId="1" applyNumberFormat="1" applyFont="1"/>
    <xf numFmtId="9" fontId="16" fillId="0" borderId="0" xfId="3" applyFont="1"/>
    <xf numFmtId="0" fontId="8" fillId="0" borderId="0" xfId="0" applyFont="1" applyAlignment="1">
      <alignment horizontal="left"/>
    </xf>
    <xf numFmtId="0" fontId="7" fillId="0" borderId="4" xfId="1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0" fillId="0" borderId="14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9" fontId="0" fillId="0" borderId="0" xfId="3" applyFont="1"/>
    <xf numFmtId="168" fontId="0" fillId="0" borderId="0" xfId="3" applyNumberFormat="1" applyFont="1"/>
    <xf numFmtId="6" fontId="25" fillId="0" borderId="0" xfId="0" applyNumberFormat="1" applyFont="1"/>
    <xf numFmtId="0" fontId="29" fillId="0" borderId="0" xfId="0" applyFont="1"/>
    <xf numFmtId="1" fontId="30" fillId="0" borderId="0" xfId="0" applyNumberFormat="1" applyFont="1"/>
    <xf numFmtId="0" fontId="31" fillId="0" borderId="0" xfId="0" applyFont="1"/>
    <xf numFmtId="6" fontId="32" fillId="0" borderId="0" xfId="0" applyNumberFormat="1" applyFont="1"/>
    <xf numFmtId="0" fontId="33" fillId="0" borderId="0" xfId="0" applyFont="1"/>
    <xf numFmtId="0" fontId="34" fillId="0" borderId="0" xfId="0" applyFont="1"/>
    <xf numFmtId="0" fontId="32" fillId="0" borderId="0" xfId="0" applyFont="1"/>
    <xf numFmtId="169" fontId="6" fillId="0" borderId="0" xfId="0" applyNumberFormat="1" applyFont="1"/>
    <xf numFmtId="0" fontId="8" fillId="0" borderId="0" xfId="0" quotePrefix="1" applyFont="1"/>
    <xf numFmtId="0" fontId="8" fillId="0" borderId="0" xfId="0" applyFont="1" applyAlignment="1">
      <alignment horizontal="right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167" fontId="0" fillId="0" borderId="0" xfId="3" applyNumberFormat="1" applyFont="1" applyAlignment="1">
      <alignment vertical="top"/>
    </xf>
    <xf numFmtId="0" fontId="14" fillId="0" borderId="0" xfId="0" applyFont="1" applyAlignment="1">
      <alignment vertical="top"/>
    </xf>
    <xf numFmtId="6" fontId="8" fillId="0" borderId="0" xfId="0" applyNumberFormat="1" applyFont="1" applyAlignment="1">
      <alignment vertical="top"/>
    </xf>
    <xf numFmtId="166" fontId="17" fillId="0" borderId="0" xfId="0" applyNumberFormat="1" applyFont="1" applyAlignment="1">
      <alignment vertical="top"/>
    </xf>
    <xf numFmtId="2" fontId="10" fillId="2" borderId="0" xfId="0" applyNumberFormat="1" applyFont="1" applyFill="1" applyAlignment="1" applyProtection="1">
      <alignment horizontal="left"/>
      <protection locked="0"/>
    </xf>
    <xf numFmtId="1" fontId="10" fillId="2" borderId="0" xfId="0" applyNumberFormat="1" applyFont="1" applyFill="1" applyAlignment="1" applyProtection="1">
      <alignment horizontal="left"/>
      <protection locked="0"/>
    </xf>
    <xf numFmtId="2" fontId="7" fillId="0" borderId="0" xfId="1" applyNumberFormat="1" applyFont="1" applyAlignment="1">
      <alignment horizontal="left"/>
    </xf>
    <xf numFmtId="2" fontId="7" fillId="2" borderId="0" xfId="1" applyNumberFormat="1" applyFont="1" applyFill="1" applyAlignment="1" applyProtection="1">
      <alignment horizontal="left"/>
      <protection locked="0"/>
    </xf>
    <xf numFmtId="2" fontId="7" fillId="0" borderId="0" xfId="1" applyNumberFormat="1" applyFont="1" applyAlignment="1" applyProtection="1">
      <alignment horizontal="left"/>
      <protection locked="0"/>
    </xf>
    <xf numFmtId="166" fontId="35" fillId="0" borderId="0" xfId="0" applyNumberFormat="1" applyFont="1" applyAlignment="1">
      <alignment horizontal="left"/>
    </xf>
    <xf numFmtId="0" fontId="14" fillId="0" borderId="0" xfId="0" applyFont="1" applyAlignment="1">
      <alignment horizontal="left"/>
    </xf>
    <xf numFmtId="2" fontId="10" fillId="0" borderId="0" xfId="0" applyNumberFormat="1" applyFont="1" applyAlignment="1" applyProtection="1">
      <alignment horizontal="left"/>
      <protection locked="0"/>
    </xf>
    <xf numFmtId="2" fontId="2" fillId="0" borderId="0" xfId="1" applyNumberFormat="1" applyFont="1" applyAlignment="1">
      <alignment horizontal="left" indent="2"/>
    </xf>
    <xf numFmtId="1" fontId="10" fillId="0" borderId="0" xfId="0" applyNumberFormat="1" applyFont="1" applyAlignment="1" applyProtection="1">
      <alignment horizontal="left"/>
      <protection locked="0"/>
    </xf>
    <xf numFmtId="1" fontId="7" fillId="0" borderId="0" xfId="1" applyNumberFormat="1" applyFont="1" applyAlignment="1" applyProtection="1">
      <alignment horizontal="left"/>
      <protection locked="0"/>
    </xf>
    <xf numFmtId="2" fontId="10" fillId="0" borderId="0" xfId="0" applyNumberFormat="1" applyFont="1" applyAlignment="1">
      <alignment horizontal="left"/>
    </xf>
    <xf numFmtId="2" fontId="37" fillId="0" borderId="0" xfId="1" applyNumberFormat="1" applyFont="1" applyAlignment="1">
      <alignment horizontal="left"/>
    </xf>
    <xf numFmtId="0" fontId="10" fillId="0" borderId="0" xfId="0" applyFont="1" applyAlignment="1">
      <alignment horizontal="left" indent="1"/>
    </xf>
    <xf numFmtId="0" fontId="14" fillId="0" borderId="0" xfId="0" applyFont="1" applyAlignment="1">
      <alignment horizontal="left" indent="1"/>
    </xf>
    <xf numFmtId="165" fontId="10" fillId="0" borderId="0" xfId="0" applyNumberFormat="1" applyFont="1" applyAlignment="1">
      <alignment horizontal="left" indent="1"/>
    </xf>
    <xf numFmtId="166" fontId="17" fillId="0" borderId="0" xfId="0" applyNumberFormat="1" applyFont="1" applyAlignment="1">
      <alignment horizontal="left" indent="1"/>
    </xf>
    <xf numFmtId="0" fontId="8" fillId="0" borderId="0" xfId="0" applyFont="1" applyAlignment="1">
      <alignment horizontal="left" indent="1"/>
    </xf>
    <xf numFmtId="1" fontId="24" fillId="0" borderId="0" xfId="1" applyNumberFormat="1" applyFont="1" applyAlignment="1">
      <alignment horizontal="right"/>
    </xf>
    <xf numFmtId="166" fontId="23" fillId="0" borderId="0" xfId="0" applyNumberFormat="1" applyFont="1" applyAlignment="1">
      <alignment horizontal="right"/>
    </xf>
    <xf numFmtId="166" fontId="39" fillId="0" borderId="0" xfId="0" applyNumberFormat="1" applyFont="1" applyAlignment="1">
      <alignment horizontal="right" vertical="top"/>
    </xf>
    <xf numFmtId="2" fontId="40" fillId="0" borderId="0" xfId="4" applyNumberFormat="1" applyFont="1" applyAlignment="1">
      <alignment horizontal="left" indent="1"/>
    </xf>
    <xf numFmtId="2" fontId="41" fillId="0" borderId="0" xfId="1" applyNumberFormat="1" applyFont="1" applyAlignment="1">
      <alignment horizontal="left" indent="1"/>
    </xf>
    <xf numFmtId="2" fontId="41" fillId="0" borderId="0" xfId="1" applyNumberFormat="1" applyFont="1" applyAlignment="1">
      <alignment horizontal="left" indent="2"/>
    </xf>
    <xf numFmtId="0" fontId="0" fillId="0" borderId="0" xfId="0" applyAlignment="1">
      <alignment vertical="center"/>
    </xf>
    <xf numFmtId="0" fontId="7" fillId="0" borderId="0" xfId="1" applyFont="1"/>
    <xf numFmtId="0" fontId="4" fillId="0" borderId="0" xfId="1" applyFont="1" applyAlignment="1">
      <alignment vertical="center"/>
    </xf>
    <xf numFmtId="0" fontId="9" fillId="0" borderId="0" xfId="1" applyFont="1"/>
    <xf numFmtId="0" fontId="6" fillId="0" borderId="0" xfId="1" applyFont="1" applyAlignment="1">
      <alignment horizontal="left"/>
    </xf>
    <xf numFmtId="0" fontId="7" fillId="0" borderId="0" xfId="1" applyFont="1" applyAlignment="1">
      <alignment horizontal="left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vertical="center"/>
    </xf>
    <xf numFmtId="0" fontId="0" fillId="0" borderId="9" xfId="0" applyBorder="1" applyAlignment="1">
      <alignment vertical="center"/>
    </xf>
    <xf numFmtId="0" fontId="8" fillId="0" borderId="4" xfId="0" applyFont="1" applyBorder="1"/>
    <xf numFmtId="0" fontId="8" fillId="0" borderId="9" xfId="0" applyFont="1" applyBorder="1"/>
    <xf numFmtId="0" fontId="46" fillId="0" borderId="0" xfId="0" applyFont="1"/>
    <xf numFmtId="0" fontId="47" fillId="0" borderId="0" xfId="0" applyFont="1"/>
    <xf numFmtId="0" fontId="7" fillId="0" borderId="0" xfId="0" applyFont="1"/>
    <xf numFmtId="2" fontId="5" fillId="0" borderId="0" xfId="1" applyNumberFormat="1" applyFont="1" applyAlignment="1">
      <alignment horizontal="left" indent="1"/>
    </xf>
    <xf numFmtId="2" fontId="36" fillId="0" borderId="0" xfId="1" applyNumberFormat="1" applyFont="1" applyAlignment="1">
      <alignment horizontal="left"/>
    </xf>
    <xf numFmtId="0" fontId="43" fillId="0" borderId="0" xfId="0" applyFont="1" applyAlignment="1">
      <alignment horizontal="left" indent="1"/>
    </xf>
    <xf numFmtId="169" fontId="22" fillId="0" borderId="0" xfId="0" applyNumberFormat="1" applyFont="1"/>
    <xf numFmtId="0" fontId="8" fillId="0" borderId="1" xfId="0" applyFont="1" applyBorder="1"/>
    <xf numFmtId="0" fontId="6" fillId="0" borderId="1" xfId="0" applyFont="1" applyBorder="1"/>
    <xf numFmtId="0" fontId="6" fillId="0" borderId="2" xfId="0" applyFont="1" applyBorder="1"/>
    <xf numFmtId="1" fontId="6" fillId="0" borderId="2" xfId="0" applyNumberFormat="1" applyFont="1" applyBorder="1"/>
    <xf numFmtId="169" fontId="23" fillId="0" borderId="13" xfId="0" applyNumberFormat="1" applyFont="1" applyBorder="1"/>
    <xf numFmtId="169" fontId="8" fillId="0" borderId="0" xfId="0" applyNumberFormat="1" applyFont="1"/>
    <xf numFmtId="169" fontId="14" fillId="0" borderId="0" xfId="0" applyNumberFormat="1" applyFont="1"/>
    <xf numFmtId="2" fontId="48" fillId="0" borderId="0" xfId="0" applyNumberFormat="1" applyFont="1" applyAlignment="1">
      <alignment horizontal="left"/>
    </xf>
    <xf numFmtId="2" fontId="49" fillId="0" borderId="0" xfId="0" quotePrefix="1" applyNumberFormat="1" applyFont="1" applyAlignment="1">
      <alignment horizontal="left"/>
    </xf>
    <xf numFmtId="0" fontId="51" fillId="0" borderId="0" xfId="0" applyFont="1" applyAlignment="1">
      <alignment horizontal="left"/>
    </xf>
    <xf numFmtId="0" fontId="51" fillId="0" borderId="0" xfId="0" applyFont="1"/>
    <xf numFmtId="2" fontId="49" fillId="0" borderId="0" xfId="0" quotePrefix="1" applyNumberFormat="1" applyFont="1" applyAlignment="1">
      <alignment horizontal="left" indent="1"/>
    </xf>
    <xf numFmtId="2" fontId="43" fillId="0" borderId="0" xfId="0" quotePrefix="1" applyNumberFormat="1" applyFont="1" applyAlignment="1">
      <alignment horizontal="left"/>
    </xf>
    <xf numFmtId="0" fontId="52" fillId="0" borderId="0" xfId="0" applyFont="1" applyAlignment="1">
      <alignment horizontal="left"/>
    </xf>
    <xf numFmtId="2" fontId="48" fillId="0" borderId="0" xfId="0" applyNumberFormat="1" applyFont="1" applyAlignment="1">
      <alignment horizontal="left" indent="1"/>
    </xf>
    <xf numFmtId="2" fontId="50" fillId="0" borderId="0" xfId="0" applyNumberFormat="1" applyFont="1" applyAlignment="1">
      <alignment horizontal="left"/>
    </xf>
    <xf numFmtId="2" fontId="44" fillId="0" borderId="0" xfId="1" applyNumberFormat="1" applyFont="1" applyAlignment="1">
      <alignment horizontal="left" indent="1"/>
    </xf>
    <xf numFmtId="2" fontId="45" fillId="0" borderId="0" xfId="1" applyNumberFormat="1" applyFont="1" applyAlignment="1">
      <alignment horizontal="left" indent="1"/>
    </xf>
    <xf numFmtId="2" fontId="42" fillId="0" borderId="0" xfId="1" applyNumberFormat="1" applyFont="1" applyAlignment="1">
      <alignment horizontal="left" indent="1"/>
    </xf>
    <xf numFmtId="9" fontId="0" fillId="0" borderId="0" xfId="0" applyNumberFormat="1"/>
    <xf numFmtId="1" fontId="8" fillId="0" borderId="13" xfId="0" applyNumberFormat="1" applyFont="1" applyBorder="1"/>
    <xf numFmtId="2" fontId="8" fillId="0" borderId="13" xfId="0" applyNumberFormat="1" applyFont="1" applyBorder="1"/>
    <xf numFmtId="0" fontId="8" fillId="0" borderId="15" xfId="0" applyFont="1" applyBorder="1" applyAlignment="1">
      <alignment horizontal="center"/>
    </xf>
    <xf numFmtId="2" fontId="8" fillId="0" borderId="15" xfId="0" applyNumberFormat="1" applyFont="1" applyBorder="1" applyAlignment="1">
      <alignment horizontal="center"/>
    </xf>
    <xf numFmtId="2" fontId="5" fillId="0" borderId="0" xfId="1" applyNumberFormat="1" applyFont="1" applyAlignment="1">
      <alignment horizontal="center"/>
    </xf>
    <xf numFmtId="0" fontId="54" fillId="0" borderId="0" xfId="0" applyFont="1" applyAlignment="1">
      <alignment horizontal="left" indent="1"/>
    </xf>
  </cellXfs>
  <cellStyles count="5">
    <cellStyle name="Euro 2" xfId="2"/>
    <cellStyle name="Lien hypertexte" xfId="4" builtinId="8"/>
    <cellStyle name="Normal" xfId="0" builtinId="0"/>
    <cellStyle name="Normal 2" xfId="1"/>
    <cellStyle name="Pourcentage" xfId="3" builtinId="5"/>
  </cellStyles>
  <dxfs count="22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rgb="FFFF0000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rgb="FFFF0000"/>
        </patternFill>
      </fill>
    </dxf>
    <dxf>
      <fill>
        <patternFill>
          <bgColor theme="6" tint="0.79998168889431442"/>
        </patternFill>
      </fill>
    </dxf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jpeg"/><Relationship Id="rId13" Type="http://schemas.openxmlformats.org/officeDocument/2006/relationships/image" Target="../media/image20.jpeg"/><Relationship Id="rId18" Type="http://schemas.openxmlformats.org/officeDocument/2006/relationships/image" Target="../media/image2.png"/><Relationship Id="rId3" Type="http://schemas.openxmlformats.org/officeDocument/2006/relationships/image" Target="../media/image10.jpeg"/><Relationship Id="rId21" Type="http://schemas.openxmlformats.org/officeDocument/2006/relationships/image" Target="../media/image5.png"/><Relationship Id="rId7" Type="http://schemas.openxmlformats.org/officeDocument/2006/relationships/image" Target="../media/image14.jpeg"/><Relationship Id="rId12" Type="http://schemas.openxmlformats.org/officeDocument/2006/relationships/image" Target="../media/image19.jpeg"/><Relationship Id="rId17" Type="http://schemas.openxmlformats.org/officeDocument/2006/relationships/image" Target="../media/image24.jpeg"/><Relationship Id="rId2" Type="http://schemas.openxmlformats.org/officeDocument/2006/relationships/image" Target="../media/image9.jpeg"/><Relationship Id="rId16" Type="http://schemas.openxmlformats.org/officeDocument/2006/relationships/image" Target="../media/image23.jpeg"/><Relationship Id="rId20" Type="http://schemas.openxmlformats.org/officeDocument/2006/relationships/image" Target="../media/image4.png"/><Relationship Id="rId1" Type="http://schemas.openxmlformats.org/officeDocument/2006/relationships/image" Target="../media/image8.jpeg"/><Relationship Id="rId6" Type="http://schemas.openxmlformats.org/officeDocument/2006/relationships/image" Target="../media/image13.jpeg"/><Relationship Id="rId11" Type="http://schemas.openxmlformats.org/officeDocument/2006/relationships/image" Target="../media/image18.jpeg"/><Relationship Id="rId24" Type="http://schemas.openxmlformats.org/officeDocument/2006/relationships/image" Target="../media/image26.jpeg"/><Relationship Id="rId5" Type="http://schemas.openxmlformats.org/officeDocument/2006/relationships/image" Target="../media/image12.jpeg"/><Relationship Id="rId15" Type="http://schemas.openxmlformats.org/officeDocument/2006/relationships/image" Target="../media/image22.jpeg"/><Relationship Id="rId23" Type="http://schemas.openxmlformats.org/officeDocument/2006/relationships/image" Target="../media/image25.png"/><Relationship Id="rId10" Type="http://schemas.openxmlformats.org/officeDocument/2006/relationships/image" Target="../media/image17.jpeg"/><Relationship Id="rId19" Type="http://schemas.openxmlformats.org/officeDocument/2006/relationships/image" Target="../media/image3.png"/><Relationship Id="rId4" Type="http://schemas.openxmlformats.org/officeDocument/2006/relationships/image" Target="../media/image11.jpeg"/><Relationship Id="rId9" Type="http://schemas.openxmlformats.org/officeDocument/2006/relationships/image" Target="../media/image16.jpeg"/><Relationship Id="rId14" Type="http://schemas.openxmlformats.org/officeDocument/2006/relationships/image" Target="../media/image21.jpeg"/><Relationship Id="rId22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png"/><Relationship Id="rId3" Type="http://schemas.openxmlformats.org/officeDocument/2006/relationships/image" Target="../media/image29.png"/><Relationship Id="rId7" Type="http://schemas.openxmlformats.org/officeDocument/2006/relationships/image" Target="../media/image6.png"/><Relationship Id="rId2" Type="http://schemas.openxmlformats.org/officeDocument/2006/relationships/image" Target="../media/image28.jpeg"/><Relationship Id="rId1" Type="http://schemas.openxmlformats.org/officeDocument/2006/relationships/image" Target="../media/image27.png"/><Relationship Id="rId6" Type="http://schemas.openxmlformats.org/officeDocument/2006/relationships/image" Target="../media/image5.png"/><Relationship Id="rId5" Type="http://schemas.openxmlformats.org/officeDocument/2006/relationships/image" Target="../media/image31.png"/><Relationship Id="rId4" Type="http://schemas.openxmlformats.org/officeDocument/2006/relationships/image" Target="../media/image30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7.png"/><Relationship Id="rId3" Type="http://schemas.openxmlformats.org/officeDocument/2006/relationships/image" Target="../media/image34.png"/><Relationship Id="rId7" Type="http://schemas.openxmlformats.org/officeDocument/2006/relationships/image" Target="../media/image36.png"/><Relationship Id="rId2" Type="http://schemas.openxmlformats.org/officeDocument/2006/relationships/image" Target="../media/image33.jpeg"/><Relationship Id="rId1" Type="http://schemas.openxmlformats.org/officeDocument/2006/relationships/image" Target="../media/image27.png"/><Relationship Id="rId6" Type="http://schemas.openxmlformats.org/officeDocument/2006/relationships/image" Target="../media/image5.png"/><Relationship Id="rId5" Type="http://schemas.openxmlformats.org/officeDocument/2006/relationships/image" Target="../media/image35.png"/><Relationship Id="rId4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</xdr:colOff>
      <xdr:row>4</xdr:row>
      <xdr:rowOff>59055</xdr:rowOff>
    </xdr:from>
    <xdr:to>
      <xdr:col>3</xdr:col>
      <xdr:colOff>821055</xdr:colOff>
      <xdr:row>7</xdr:row>
      <xdr:rowOff>47625</xdr:rowOff>
    </xdr:to>
    <xdr:pic>
      <xdr:nvPicPr>
        <xdr:cNvPr id="18" name="Image 223312745" descr="Service Public Régional Bruxelles Urbanisme et Patrimoine ...">
          <a:extLst>
            <a:ext uri="{FF2B5EF4-FFF2-40B4-BE49-F238E27FC236}">
              <a16:creationId xmlns:a16="http://schemas.microsoft.com/office/drawing/2014/main" id="{2451E82F-BA1B-4DCC-83A4-0A11CA7AD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805" y="760095"/>
          <a:ext cx="815340" cy="4514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855345</xdr:colOff>
      <xdr:row>4</xdr:row>
      <xdr:rowOff>55245</xdr:rowOff>
    </xdr:from>
    <xdr:to>
      <xdr:col>3</xdr:col>
      <xdr:colOff>1769745</xdr:colOff>
      <xdr:row>7</xdr:row>
      <xdr:rowOff>47625</xdr:rowOff>
    </xdr:to>
    <xdr:pic>
      <xdr:nvPicPr>
        <xdr:cNvPr id="19" name="Image 1308056042">
          <a:extLst>
            <a:ext uri="{FF2B5EF4-FFF2-40B4-BE49-F238E27FC236}">
              <a16:creationId xmlns:a16="http://schemas.microsoft.com/office/drawing/2014/main" id="{42F9D841-FEAB-42AD-AA5D-4F093963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3055" y="763905"/>
          <a:ext cx="914400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1828800</xdr:colOff>
      <xdr:row>4</xdr:row>
      <xdr:rowOff>57150</xdr:rowOff>
    </xdr:from>
    <xdr:to>
      <xdr:col>3</xdr:col>
      <xdr:colOff>2263140</xdr:colOff>
      <xdr:row>7</xdr:row>
      <xdr:rowOff>11430</xdr:rowOff>
    </xdr:to>
    <xdr:pic>
      <xdr:nvPicPr>
        <xdr:cNvPr id="20" name="Image 902358290">
          <a:extLst>
            <a:ext uri="{FF2B5EF4-FFF2-40B4-BE49-F238E27FC236}">
              <a16:creationId xmlns:a16="http://schemas.microsoft.com/office/drawing/2014/main" id="{68D28F67-12AD-4B69-B78F-DCB4E0D1E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" y="758190"/>
          <a:ext cx="4381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2305050</xdr:colOff>
      <xdr:row>4</xdr:row>
      <xdr:rowOff>57150</xdr:rowOff>
    </xdr:from>
    <xdr:to>
      <xdr:col>3</xdr:col>
      <xdr:colOff>3048000</xdr:colOff>
      <xdr:row>7</xdr:row>
      <xdr:rowOff>11430</xdr:rowOff>
    </xdr:to>
    <xdr:pic>
      <xdr:nvPicPr>
        <xdr:cNvPr id="21" name="Image 805677264">
          <a:extLst>
            <a:ext uri="{FF2B5EF4-FFF2-40B4-BE49-F238E27FC236}">
              <a16:creationId xmlns:a16="http://schemas.microsoft.com/office/drawing/2014/main" id="{B70E5B00-C26D-490F-8F68-8AD8FE14F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5140" y="758190"/>
          <a:ext cx="74676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3065145</xdr:colOff>
      <xdr:row>4</xdr:row>
      <xdr:rowOff>59055</xdr:rowOff>
    </xdr:from>
    <xdr:to>
      <xdr:col>4</xdr:col>
      <xdr:colOff>150495</xdr:colOff>
      <xdr:row>7</xdr:row>
      <xdr:rowOff>38100</xdr:rowOff>
    </xdr:to>
    <xdr:pic>
      <xdr:nvPicPr>
        <xdr:cNvPr id="22" name="Image 747712534">
          <a:extLst>
            <a:ext uri="{FF2B5EF4-FFF2-40B4-BE49-F238E27FC236}">
              <a16:creationId xmlns:a16="http://schemas.microsoft.com/office/drawing/2014/main" id="{47605E31-D8D5-4FC8-B250-E2F4A03E0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2855" y="760095"/>
          <a:ext cx="453390" cy="4400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186690</xdr:colOff>
      <xdr:row>4</xdr:row>
      <xdr:rowOff>55245</xdr:rowOff>
    </xdr:from>
    <xdr:to>
      <xdr:col>4</xdr:col>
      <xdr:colOff>592455</xdr:colOff>
      <xdr:row>7</xdr:row>
      <xdr:rowOff>38100</xdr:rowOff>
    </xdr:to>
    <xdr:pic>
      <xdr:nvPicPr>
        <xdr:cNvPr id="23" name="Image 230482461">
          <a:extLst>
            <a:ext uri="{FF2B5EF4-FFF2-40B4-BE49-F238E27FC236}">
              <a16:creationId xmlns:a16="http://schemas.microsoft.com/office/drawing/2014/main" id="{3919C8B2-B951-407C-B403-3B51E9AEC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2440" y="763905"/>
          <a:ext cx="401955" cy="436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626745</xdr:colOff>
      <xdr:row>5</xdr:row>
      <xdr:rowOff>97155</xdr:rowOff>
    </xdr:from>
    <xdr:to>
      <xdr:col>7</xdr:col>
      <xdr:colOff>55245</xdr:colOff>
      <xdr:row>7</xdr:row>
      <xdr:rowOff>1905</xdr:rowOff>
    </xdr:to>
    <xdr:pic>
      <xdr:nvPicPr>
        <xdr:cNvPr id="24" name="Image 57545504">
          <a:extLst>
            <a:ext uri="{FF2B5EF4-FFF2-40B4-BE49-F238E27FC236}">
              <a16:creationId xmlns:a16="http://schemas.microsoft.com/office/drawing/2014/main" id="{E77878D8-633F-4CF5-A183-43F7D5E1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6305" y="893445"/>
          <a:ext cx="1581150" cy="2705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224790</xdr:colOff>
      <xdr:row>66</xdr:row>
      <xdr:rowOff>3809</xdr:rowOff>
    </xdr:from>
    <xdr:to>
      <xdr:col>3</xdr:col>
      <xdr:colOff>3278505</xdr:colOff>
      <xdr:row>80</xdr:row>
      <xdr:rowOff>17144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B7C97CF2-2A6B-DB9D-F23A-676F9D3CD9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90" r="170"/>
        <a:stretch/>
      </xdr:blipFill>
      <xdr:spPr>
        <a:xfrm>
          <a:off x="720090" y="11090909"/>
          <a:ext cx="3282315" cy="2470785"/>
        </a:xfrm>
        <a:prstGeom prst="rect">
          <a:avLst/>
        </a:prstGeom>
      </xdr:spPr>
    </xdr:pic>
    <xdr:clientData/>
  </xdr:twoCellAnchor>
  <xdr:oneCellAnchor>
    <xdr:from>
      <xdr:col>3</xdr:col>
      <xdr:colOff>7620</xdr:colOff>
      <xdr:row>86</xdr:row>
      <xdr:rowOff>1904</xdr:rowOff>
    </xdr:from>
    <xdr:ext cx="3257549" cy="2421255"/>
    <xdr:pic>
      <xdr:nvPicPr>
        <xdr:cNvPr id="4" name="Image 3">
          <a:extLst>
            <a:ext uri="{FF2B5EF4-FFF2-40B4-BE49-F238E27FC236}">
              <a16:creationId xmlns:a16="http://schemas.microsoft.com/office/drawing/2014/main" id="{CFA3FC14-D473-4DA1-8AE5-F1BE5C0466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38" r="119"/>
        <a:stretch/>
      </xdr:blipFill>
      <xdr:spPr>
        <a:xfrm>
          <a:off x="731520" y="11060429"/>
          <a:ext cx="3257549" cy="2421255"/>
        </a:xfrm>
        <a:prstGeom prst="rect">
          <a:avLst/>
        </a:prstGeom>
      </xdr:spPr>
    </xdr:pic>
    <xdr:clientData/>
  </xdr:oneCellAnchor>
  <xdr:oneCellAnchor>
    <xdr:from>
      <xdr:col>3</xdr:col>
      <xdr:colOff>1905</xdr:colOff>
      <xdr:row>105</xdr:row>
      <xdr:rowOff>1904</xdr:rowOff>
    </xdr:from>
    <xdr:ext cx="3227070" cy="2421255"/>
    <xdr:pic>
      <xdr:nvPicPr>
        <xdr:cNvPr id="5" name="Image 4">
          <a:extLst>
            <a:ext uri="{FF2B5EF4-FFF2-40B4-BE49-F238E27FC236}">
              <a16:creationId xmlns:a16="http://schemas.microsoft.com/office/drawing/2014/main" id="{664A5401-6F29-4188-B43F-92D83EBC5A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82" r="-198"/>
        <a:stretch/>
      </xdr:blipFill>
      <xdr:spPr>
        <a:xfrm>
          <a:off x="725805" y="14241779"/>
          <a:ext cx="3227070" cy="2421255"/>
        </a:xfrm>
        <a:prstGeom prst="rect">
          <a:avLst/>
        </a:prstGeom>
      </xdr:spPr>
    </xdr:pic>
    <xdr:clientData/>
  </xdr:oneCellAnchor>
  <xdr:oneCellAnchor>
    <xdr:from>
      <xdr:col>3</xdr:col>
      <xdr:colOff>19050</xdr:colOff>
      <xdr:row>126</xdr:row>
      <xdr:rowOff>1904</xdr:rowOff>
    </xdr:from>
    <xdr:ext cx="3227070" cy="2421255"/>
    <xdr:pic>
      <xdr:nvPicPr>
        <xdr:cNvPr id="6" name="Image 5">
          <a:extLst>
            <a:ext uri="{FF2B5EF4-FFF2-40B4-BE49-F238E27FC236}">
              <a16:creationId xmlns:a16="http://schemas.microsoft.com/office/drawing/2014/main" id="{2B4C271A-C869-4455-AFF1-824A066CF4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94" r="5590"/>
        <a:stretch/>
      </xdr:blipFill>
      <xdr:spPr>
        <a:xfrm>
          <a:off x="742950" y="17461229"/>
          <a:ext cx="3227070" cy="2421255"/>
        </a:xfrm>
        <a:prstGeom prst="rect">
          <a:avLst/>
        </a:prstGeom>
      </xdr:spPr>
    </xdr:pic>
    <xdr:clientData/>
  </xdr:oneCellAnchor>
  <xdr:oneCellAnchor>
    <xdr:from>
      <xdr:col>3</xdr:col>
      <xdr:colOff>11429</xdr:colOff>
      <xdr:row>155</xdr:row>
      <xdr:rowOff>1904</xdr:rowOff>
    </xdr:from>
    <xdr:ext cx="3227070" cy="2421255"/>
    <xdr:pic>
      <xdr:nvPicPr>
        <xdr:cNvPr id="7" name="Image 6">
          <a:extLst>
            <a:ext uri="{FF2B5EF4-FFF2-40B4-BE49-F238E27FC236}">
              <a16:creationId xmlns:a16="http://schemas.microsoft.com/office/drawing/2014/main" id="{EBB9166E-F9FA-480B-AA52-35767889A8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050" r="1133"/>
        <a:stretch/>
      </xdr:blipFill>
      <xdr:spPr>
        <a:xfrm>
          <a:off x="740299" y="22696252"/>
          <a:ext cx="3227070" cy="2421255"/>
        </a:xfrm>
        <a:prstGeom prst="rect">
          <a:avLst/>
        </a:prstGeom>
      </xdr:spPr>
    </xdr:pic>
    <xdr:clientData/>
  </xdr:oneCellAnchor>
  <xdr:oneCellAnchor>
    <xdr:from>
      <xdr:col>3</xdr:col>
      <xdr:colOff>9524</xdr:colOff>
      <xdr:row>174</xdr:row>
      <xdr:rowOff>1904</xdr:rowOff>
    </xdr:from>
    <xdr:ext cx="3227070" cy="2421255"/>
    <xdr:pic>
      <xdr:nvPicPr>
        <xdr:cNvPr id="8" name="Image 7">
          <a:extLst>
            <a:ext uri="{FF2B5EF4-FFF2-40B4-BE49-F238E27FC236}">
              <a16:creationId xmlns:a16="http://schemas.microsoft.com/office/drawing/2014/main" id="{C52E5A3E-E708-4D4F-8799-A4BC5710C7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155" r="29"/>
        <a:stretch/>
      </xdr:blipFill>
      <xdr:spPr>
        <a:xfrm>
          <a:off x="733424" y="25538429"/>
          <a:ext cx="3227070" cy="2421255"/>
        </a:xfrm>
        <a:prstGeom prst="rect">
          <a:avLst/>
        </a:prstGeom>
      </xdr:spPr>
    </xdr:pic>
    <xdr:clientData/>
  </xdr:oneCellAnchor>
  <xdr:oneCellAnchor>
    <xdr:from>
      <xdr:col>3</xdr:col>
      <xdr:colOff>9524</xdr:colOff>
      <xdr:row>193</xdr:row>
      <xdr:rowOff>1904</xdr:rowOff>
    </xdr:from>
    <xdr:ext cx="3227070" cy="2421255"/>
    <xdr:pic>
      <xdr:nvPicPr>
        <xdr:cNvPr id="9" name="Image 8">
          <a:extLst>
            <a:ext uri="{FF2B5EF4-FFF2-40B4-BE49-F238E27FC236}">
              <a16:creationId xmlns:a16="http://schemas.microsoft.com/office/drawing/2014/main" id="{E164EE16-3B3A-48C5-B4C2-20C85828FD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155" r="29"/>
        <a:stretch/>
      </xdr:blipFill>
      <xdr:spPr>
        <a:xfrm>
          <a:off x="733424" y="28719779"/>
          <a:ext cx="3227070" cy="2421255"/>
        </a:xfrm>
        <a:prstGeom prst="rect">
          <a:avLst/>
        </a:prstGeom>
      </xdr:spPr>
    </xdr:pic>
    <xdr:clientData/>
  </xdr:oneCellAnchor>
  <xdr:oneCellAnchor>
    <xdr:from>
      <xdr:col>3</xdr:col>
      <xdr:colOff>11429</xdr:colOff>
      <xdr:row>213</xdr:row>
      <xdr:rowOff>1904</xdr:rowOff>
    </xdr:from>
    <xdr:ext cx="3227070" cy="2421255"/>
    <xdr:pic>
      <xdr:nvPicPr>
        <xdr:cNvPr id="10" name="Image 9">
          <a:extLst>
            <a:ext uri="{FF2B5EF4-FFF2-40B4-BE49-F238E27FC236}">
              <a16:creationId xmlns:a16="http://schemas.microsoft.com/office/drawing/2014/main" id="{F92A69F3-66DF-4719-9686-A07D41A60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592" r="11592"/>
        <a:stretch/>
      </xdr:blipFill>
      <xdr:spPr>
        <a:xfrm>
          <a:off x="735329" y="31901129"/>
          <a:ext cx="3227070" cy="2421255"/>
        </a:xfrm>
        <a:prstGeom prst="rect">
          <a:avLst/>
        </a:prstGeom>
      </xdr:spPr>
    </xdr:pic>
    <xdr:clientData/>
  </xdr:oneCellAnchor>
  <xdr:oneCellAnchor>
    <xdr:from>
      <xdr:col>3</xdr:col>
      <xdr:colOff>13334</xdr:colOff>
      <xdr:row>233</xdr:row>
      <xdr:rowOff>1904</xdr:rowOff>
    </xdr:from>
    <xdr:ext cx="3227070" cy="2421255"/>
    <xdr:pic>
      <xdr:nvPicPr>
        <xdr:cNvPr id="11" name="Image 10">
          <a:extLst>
            <a:ext uri="{FF2B5EF4-FFF2-40B4-BE49-F238E27FC236}">
              <a16:creationId xmlns:a16="http://schemas.microsoft.com/office/drawing/2014/main" id="{7F4988D4-A2C7-4FF1-8C44-D704D10E3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592" r="11592"/>
        <a:stretch/>
      </xdr:blipFill>
      <xdr:spPr>
        <a:xfrm>
          <a:off x="737234" y="35253929"/>
          <a:ext cx="3227070" cy="2421255"/>
        </a:xfrm>
        <a:prstGeom prst="rect">
          <a:avLst/>
        </a:prstGeom>
      </xdr:spPr>
    </xdr:pic>
    <xdr:clientData/>
  </xdr:oneCellAnchor>
  <xdr:oneCellAnchor>
    <xdr:from>
      <xdr:col>3</xdr:col>
      <xdr:colOff>7619</xdr:colOff>
      <xdr:row>257</xdr:row>
      <xdr:rowOff>1904</xdr:rowOff>
    </xdr:from>
    <xdr:ext cx="3227070" cy="2421255"/>
    <xdr:pic>
      <xdr:nvPicPr>
        <xdr:cNvPr id="12" name="Image 11">
          <a:extLst>
            <a:ext uri="{FF2B5EF4-FFF2-40B4-BE49-F238E27FC236}">
              <a16:creationId xmlns:a16="http://schemas.microsoft.com/office/drawing/2014/main" id="{C81FBBDA-EC3A-4112-9A7B-DF66D6BFAE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855" r="329"/>
        <a:stretch/>
      </xdr:blipFill>
      <xdr:spPr>
        <a:xfrm>
          <a:off x="731519" y="39121079"/>
          <a:ext cx="3227070" cy="2421255"/>
        </a:xfrm>
        <a:prstGeom prst="rect">
          <a:avLst/>
        </a:prstGeom>
      </xdr:spPr>
    </xdr:pic>
    <xdr:clientData/>
  </xdr:oneCellAnchor>
  <xdr:oneCellAnchor>
    <xdr:from>
      <xdr:col>3</xdr:col>
      <xdr:colOff>9524</xdr:colOff>
      <xdr:row>275</xdr:row>
      <xdr:rowOff>1904</xdr:rowOff>
    </xdr:from>
    <xdr:ext cx="3227070" cy="2421255"/>
    <xdr:pic>
      <xdr:nvPicPr>
        <xdr:cNvPr id="13" name="Image 12">
          <a:extLst>
            <a:ext uri="{FF2B5EF4-FFF2-40B4-BE49-F238E27FC236}">
              <a16:creationId xmlns:a16="http://schemas.microsoft.com/office/drawing/2014/main" id="{C5D4E6A6-2803-49D3-85EF-2CDABE7720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04" r="5680"/>
        <a:stretch/>
      </xdr:blipFill>
      <xdr:spPr>
        <a:xfrm>
          <a:off x="733424" y="42130979"/>
          <a:ext cx="3227070" cy="2421255"/>
        </a:xfrm>
        <a:prstGeom prst="rect">
          <a:avLst/>
        </a:prstGeom>
      </xdr:spPr>
    </xdr:pic>
    <xdr:clientData/>
  </xdr:oneCellAnchor>
  <xdr:oneCellAnchor>
    <xdr:from>
      <xdr:col>2</xdr:col>
      <xdr:colOff>226694</xdr:colOff>
      <xdr:row>295</xdr:row>
      <xdr:rowOff>1904</xdr:rowOff>
    </xdr:from>
    <xdr:ext cx="3227070" cy="2421255"/>
    <xdr:pic>
      <xdr:nvPicPr>
        <xdr:cNvPr id="14" name="Image 13">
          <a:extLst>
            <a:ext uri="{FF2B5EF4-FFF2-40B4-BE49-F238E27FC236}">
              <a16:creationId xmlns:a16="http://schemas.microsoft.com/office/drawing/2014/main" id="{DFB13001-DC81-4106-9B76-C8F9CDD63A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155" r="29"/>
        <a:stretch/>
      </xdr:blipFill>
      <xdr:spPr>
        <a:xfrm>
          <a:off x="721994" y="45483779"/>
          <a:ext cx="3227070" cy="2421255"/>
        </a:xfrm>
        <a:prstGeom prst="rect">
          <a:avLst/>
        </a:prstGeom>
      </xdr:spPr>
    </xdr:pic>
    <xdr:clientData/>
  </xdr:oneCellAnchor>
  <xdr:oneCellAnchor>
    <xdr:from>
      <xdr:col>2</xdr:col>
      <xdr:colOff>226694</xdr:colOff>
      <xdr:row>315</xdr:row>
      <xdr:rowOff>1904</xdr:rowOff>
    </xdr:from>
    <xdr:ext cx="3227070" cy="2421255"/>
    <xdr:pic>
      <xdr:nvPicPr>
        <xdr:cNvPr id="15" name="Image 14">
          <a:extLst>
            <a:ext uri="{FF2B5EF4-FFF2-40B4-BE49-F238E27FC236}">
              <a16:creationId xmlns:a16="http://schemas.microsoft.com/office/drawing/2014/main" id="{BE8888F8-AB98-416C-80C1-75368FDC61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82" r="-198"/>
        <a:stretch/>
      </xdr:blipFill>
      <xdr:spPr>
        <a:xfrm>
          <a:off x="721994" y="48836579"/>
          <a:ext cx="3227070" cy="2421255"/>
        </a:xfrm>
        <a:prstGeom prst="rect">
          <a:avLst/>
        </a:prstGeom>
      </xdr:spPr>
    </xdr:pic>
    <xdr:clientData/>
  </xdr:oneCellAnchor>
  <xdr:oneCellAnchor>
    <xdr:from>
      <xdr:col>2</xdr:col>
      <xdr:colOff>226694</xdr:colOff>
      <xdr:row>336</xdr:row>
      <xdr:rowOff>1904</xdr:rowOff>
    </xdr:from>
    <xdr:ext cx="3227070" cy="2421255"/>
    <xdr:pic>
      <xdr:nvPicPr>
        <xdr:cNvPr id="16" name="Image 15">
          <a:extLst>
            <a:ext uri="{FF2B5EF4-FFF2-40B4-BE49-F238E27FC236}">
              <a16:creationId xmlns:a16="http://schemas.microsoft.com/office/drawing/2014/main" id="{FE042E16-2292-4394-80D8-785DAC21B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592" r="11592"/>
        <a:stretch/>
      </xdr:blipFill>
      <xdr:spPr>
        <a:xfrm>
          <a:off x="721994" y="52189379"/>
          <a:ext cx="3227070" cy="2421255"/>
        </a:xfrm>
        <a:prstGeom prst="rect">
          <a:avLst/>
        </a:prstGeom>
      </xdr:spPr>
    </xdr:pic>
    <xdr:clientData/>
  </xdr:oneCellAnchor>
  <xdr:oneCellAnchor>
    <xdr:from>
      <xdr:col>2</xdr:col>
      <xdr:colOff>226694</xdr:colOff>
      <xdr:row>376</xdr:row>
      <xdr:rowOff>1904</xdr:rowOff>
    </xdr:from>
    <xdr:ext cx="3227070" cy="2421255"/>
    <xdr:pic>
      <xdr:nvPicPr>
        <xdr:cNvPr id="17" name="Image 16">
          <a:extLst>
            <a:ext uri="{FF2B5EF4-FFF2-40B4-BE49-F238E27FC236}">
              <a16:creationId xmlns:a16="http://schemas.microsoft.com/office/drawing/2014/main" id="{78D7F503-4783-48DE-8831-B1687F03AF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82" r="-198"/>
        <a:stretch/>
      </xdr:blipFill>
      <xdr:spPr>
        <a:xfrm>
          <a:off x="721994" y="58628279"/>
          <a:ext cx="3227070" cy="2421255"/>
        </a:xfrm>
        <a:prstGeom prst="rect">
          <a:avLst/>
        </a:prstGeom>
      </xdr:spPr>
    </xdr:pic>
    <xdr:clientData/>
  </xdr:oneCellAnchor>
  <xdr:oneCellAnchor>
    <xdr:from>
      <xdr:col>3</xdr:col>
      <xdr:colOff>13334</xdr:colOff>
      <xdr:row>404</xdr:row>
      <xdr:rowOff>1904</xdr:rowOff>
    </xdr:from>
    <xdr:ext cx="3227070" cy="2421255"/>
    <xdr:pic>
      <xdr:nvPicPr>
        <xdr:cNvPr id="18" name="Image 17">
          <a:extLst>
            <a:ext uri="{FF2B5EF4-FFF2-40B4-BE49-F238E27FC236}">
              <a16:creationId xmlns:a16="http://schemas.microsoft.com/office/drawing/2014/main" id="{EA8EB6CE-AD7A-4FE4-9E35-647762624A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08" r="-124"/>
        <a:stretch/>
      </xdr:blipFill>
      <xdr:spPr>
        <a:xfrm>
          <a:off x="737234" y="63524129"/>
          <a:ext cx="3227070" cy="2421255"/>
        </a:xfrm>
        <a:prstGeom prst="rect">
          <a:avLst/>
        </a:prstGeom>
      </xdr:spPr>
    </xdr:pic>
    <xdr:clientData/>
  </xdr:oneCellAnchor>
  <xdr:twoCellAnchor>
    <xdr:from>
      <xdr:col>3</xdr:col>
      <xdr:colOff>1905</xdr:colOff>
      <xdr:row>4</xdr:row>
      <xdr:rowOff>59055</xdr:rowOff>
    </xdr:from>
    <xdr:to>
      <xdr:col>3</xdr:col>
      <xdr:colOff>821055</xdr:colOff>
      <xdr:row>7</xdr:row>
      <xdr:rowOff>47625</xdr:rowOff>
    </xdr:to>
    <xdr:pic>
      <xdr:nvPicPr>
        <xdr:cNvPr id="28" name="Image 223312745" descr="Service Public Régional Bruxelles Urbanisme et Patrimoine ...">
          <a:extLst>
            <a:ext uri="{FF2B5EF4-FFF2-40B4-BE49-F238E27FC236}">
              <a16:creationId xmlns:a16="http://schemas.microsoft.com/office/drawing/2014/main" id="{CEDD671E-D3DF-4A87-FA1F-FE122FD07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805" y="763905"/>
          <a:ext cx="819150" cy="4457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855345</xdr:colOff>
      <xdr:row>4</xdr:row>
      <xdr:rowOff>55245</xdr:rowOff>
    </xdr:from>
    <xdr:to>
      <xdr:col>3</xdr:col>
      <xdr:colOff>1769745</xdr:colOff>
      <xdr:row>7</xdr:row>
      <xdr:rowOff>47625</xdr:rowOff>
    </xdr:to>
    <xdr:pic>
      <xdr:nvPicPr>
        <xdr:cNvPr id="29" name="Image 1308056042">
          <a:extLst>
            <a:ext uri="{FF2B5EF4-FFF2-40B4-BE49-F238E27FC236}">
              <a16:creationId xmlns:a16="http://schemas.microsoft.com/office/drawing/2014/main" id="{2701CACF-3C76-17E4-7429-2A40FF0A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9245" y="760095"/>
          <a:ext cx="914400" cy="449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1828800</xdr:colOff>
      <xdr:row>4</xdr:row>
      <xdr:rowOff>57150</xdr:rowOff>
    </xdr:from>
    <xdr:to>
      <xdr:col>3</xdr:col>
      <xdr:colOff>2263140</xdr:colOff>
      <xdr:row>7</xdr:row>
      <xdr:rowOff>11430</xdr:rowOff>
    </xdr:to>
    <xdr:pic>
      <xdr:nvPicPr>
        <xdr:cNvPr id="30" name="Image 902358290">
          <a:extLst>
            <a:ext uri="{FF2B5EF4-FFF2-40B4-BE49-F238E27FC236}">
              <a16:creationId xmlns:a16="http://schemas.microsoft.com/office/drawing/2014/main" id="{34C9D4B6-1C8F-A102-AC16-3F02E0BC7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" y="762000"/>
          <a:ext cx="434340" cy="411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2305050</xdr:colOff>
      <xdr:row>4</xdr:row>
      <xdr:rowOff>57150</xdr:rowOff>
    </xdr:from>
    <xdr:to>
      <xdr:col>3</xdr:col>
      <xdr:colOff>3048000</xdr:colOff>
      <xdr:row>7</xdr:row>
      <xdr:rowOff>11430</xdr:rowOff>
    </xdr:to>
    <xdr:pic>
      <xdr:nvPicPr>
        <xdr:cNvPr id="31" name="Image 805677264">
          <a:extLst>
            <a:ext uri="{FF2B5EF4-FFF2-40B4-BE49-F238E27FC236}">
              <a16:creationId xmlns:a16="http://schemas.microsoft.com/office/drawing/2014/main" id="{5C10D44A-4EBC-ABA4-DDB2-DB59474BC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8950" y="762000"/>
          <a:ext cx="742950" cy="411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3065145</xdr:colOff>
      <xdr:row>4</xdr:row>
      <xdr:rowOff>59055</xdr:rowOff>
    </xdr:from>
    <xdr:to>
      <xdr:col>4</xdr:col>
      <xdr:colOff>150495</xdr:colOff>
      <xdr:row>7</xdr:row>
      <xdr:rowOff>38100</xdr:rowOff>
    </xdr:to>
    <xdr:pic>
      <xdr:nvPicPr>
        <xdr:cNvPr id="32" name="Image 747712534">
          <a:extLst>
            <a:ext uri="{FF2B5EF4-FFF2-40B4-BE49-F238E27FC236}">
              <a16:creationId xmlns:a16="http://schemas.microsoft.com/office/drawing/2014/main" id="{88CC5F47-1593-3ADF-FE16-AAF301F83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9045" y="763905"/>
          <a:ext cx="457200" cy="436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186690</xdr:colOff>
      <xdr:row>4</xdr:row>
      <xdr:rowOff>55245</xdr:rowOff>
    </xdr:from>
    <xdr:to>
      <xdr:col>4</xdr:col>
      <xdr:colOff>592455</xdr:colOff>
      <xdr:row>7</xdr:row>
      <xdr:rowOff>38100</xdr:rowOff>
    </xdr:to>
    <xdr:pic>
      <xdr:nvPicPr>
        <xdr:cNvPr id="33" name="Image 230482461">
          <a:extLst>
            <a:ext uri="{FF2B5EF4-FFF2-40B4-BE49-F238E27FC236}">
              <a16:creationId xmlns:a16="http://schemas.microsoft.com/office/drawing/2014/main" id="{0A7BD56F-2458-8EBB-31EC-3ADDEE8F8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2440" y="760095"/>
          <a:ext cx="405765" cy="4400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626745</xdr:colOff>
      <xdr:row>5</xdr:row>
      <xdr:rowOff>97155</xdr:rowOff>
    </xdr:from>
    <xdr:to>
      <xdr:col>7</xdr:col>
      <xdr:colOff>55245</xdr:colOff>
      <xdr:row>7</xdr:row>
      <xdr:rowOff>1905</xdr:rowOff>
    </xdr:to>
    <xdr:pic>
      <xdr:nvPicPr>
        <xdr:cNvPr id="34" name="Image 57545504">
          <a:extLst>
            <a:ext uri="{FF2B5EF4-FFF2-40B4-BE49-F238E27FC236}">
              <a16:creationId xmlns:a16="http://schemas.microsoft.com/office/drawing/2014/main" id="{9648F14F-852A-3B6A-47C5-DF94C4312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2495" y="897255"/>
          <a:ext cx="15811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</xdr:colOff>
      <xdr:row>31</xdr:row>
      <xdr:rowOff>167640</xdr:rowOff>
    </xdr:from>
    <xdr:to>
      <xdr:col>3</xdr:col>
      <xdr:colOff>3028951</xdr:colOff>
      <xdr:row>53</xdr:row>
      <xdr:rowOff>168579</xdr:rowOff>
    </xdr:to>
    <xdr:pic>
      <xdr:nvPicPr>
        <xdr:cNvPr id="37" name="Image 36">
          <a:extLst>
            <a:ext uri="{FF2B5EF4-FFF2-40B4-BE49-F238E27FC236}">
              <a16:creationId xmlns:a16="http://schemas.microsoft.com/office/drawing/2014/main" id="{002270E4-34F7-4923-9121-F469BB57D0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516" r="15240"/>
        <a:stretch/>
      </xdr:blipFill>
      <xdr:spPr>
        <a:xfrm>
          <a:off x="723901" y="5330190"/>
          <a:ext cx="3025140" cy="291558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815340</xdr:colOff>
      <xdr:row>3</xdr:row>
      <xdr:rowOff>167640</xdr:rowOff>
    </xdr:from>
    <xdr:to>
      <xdr:col>4</xdr:col>
      <xdr:colOff>1257300</xdr:colOff>
      <xdr:row>6</xdr:row>
      <xdr:rowOff>131445</xdr:rowOff>
    </xdr:to>
    <xdr:pic>
      <xdr:nvPicPr>
        <xdr:cNvPr id="5" name="Image 902358290">
          <a:extLst>
            <a:ext uri="{FF2B5EF4-FFF2-40B4-BE49-F238E27FC236}">
              <a16:creationId xmlns:a16="http://schemas.microsoft.com/office/drawing/2014/main" id="{5A83F464-26C9-4561-9E1D-371DDD67C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695325"/>
          <a:ext cx="438150" cy="4210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</xdr:colOff>
      <xdr:row>4</xdr:row>
      <xdr:rowOff>57150</xdr:rowOff>
    </xdr:from>
    <xdr:to>
      <xdr:col>3</xdr:col>
      <xdr:colOff>828675</xdr:colOff>
      <xdr:row>7</xdr:row>
      <xdr:rowOff>53340</xdr:rowOff>
    </xdr:to>
    <xdr:pic>
      <xdr:nvPicPr>
        <xdr:cNvPr id="10" name="Image 223312745" descr="Service Public Régional Bruxelles Urbanisme et Patrimoine ...">
          <a:extLst>
            <a:ext uri="{FF2B5EF4-FFF2-40B4-BE49-F238E27FC236}">
              <a16:creationId xmlns:a16="http://schemas.microsoft.com/office/drawing/2014/main" id="{814830FF-2340-4646-B7BF-B05E4C2C3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" y="762000"/>
          <a:ext cx="822960" cy="4533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862965</xdr:colOff>
      <xdr:row>4</xdr:row>
      <xdr:rowOff>55245</xdr:rowOff>
    </xdr:from>
    <xdr:to>
      <xdr:col>3</xdr:col>
      <xdr:colOff>1779270</xdr:colOff>
      <xdr:row>7</xdr:row>
      <xdr:rowOff>53340</xdr:rowOff>
    </xdr:to>
    <xdr:pic>
      <xdr:nvPicPr>
        <xdr:cNvPr id="11" name="Image 1308056042">
          <a:extLst>
            <a:ext uri="{FF2B5EF4-FFF2-40B4-BE49-F238E27FC236}">
              <a16:creationId xmlns:a16="http://schemas.microsoft.com/office/drawing/2014/main" id="{ADD5AA2B-206F-4A7A-989A-969429A29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6865" y="760095"/>
          <a:ext cx="916305" cy="4552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1828800</xdr:colOff>
      <xdr:row>4</xdr:row>
      <xdr:rowOff>53340</xdr:rowOff>
    </xdr:from>
    <xdr:to>
      <xdr:col>3</xdr:col>
      <xdr:colOff>2282190</xdr:colOff>
      <xdr:row>7</xdr:row>
      <xdr:rowOff>11430</xdr:rowOff>
    </xdr:to>
    <xdr:pic>
      <xdr:nvPicPr>
        <xdr:cNvPr id="12" name="Image 902358290">
          <a:extLst>
            <a:ext uri="{FF2B5EF4-FFF2-40B4-BE49-F238E27FC236}">
              <a16:creationId xmlns:a16="http://schemas.microsoft.com/office/drawing/2014/main" id="{6B81B252-B48E-4493-9A2F-E44595717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" y="758190"/>
          <a:ext cx="453390" cy="4152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2306955</xdr:colOff>
      <xdr:row>4</xdr:row>
      <xdr:rowOff>53340</xdr:rowOff>
    </xdr:from>
    <xdr:to>
      <xdr:col>3</xdr:col>
      <xdr:colOff>3048000</xdr:colOff>
      <xdr:row>7</xdr:row>
      <xdr:rowOff>11430</xdr:rowOff>
    </xdr:to>
    <xdr:pic>
      <xdr:nvPicPr>
        <xdr:cNvPr id="13" name="Image 805677264">
          <a:extLst>
            <a:ext uri="{FF2B5EF4-FFF2-40B4-BE49-F238E27FC236}">
              <a16:creationId xmlns:a16="http://schemas.microsoft.com/office/drawing/2014/main" id="{BBBE87D3-3B88-4C5F-8E69-347B64F07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" y="758190"/>
          <a:ext cx="741045" cy="4152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3074670</xdr:colOff>
      <xdr:row>4</xdr:row>
      <xdr:rowOff>57150</xdr:rowOff>
    </xdr:from>
    <xdr:to>
      <xdr:col>4</xdr:col>
      <xdr:colOff>158115</xdr:colOff>
      <xdr:row>7</xdr:row>
      <xdr:rowOff>36195</xdr:rowOff>
    </xdr:to>
    <xdr:pic>
      <xdr:nvPicPr>
        <xdr:cNvPr id="14" name="Image 747712534">
          <a:extLst>
            <a:ext uri="{FF2B5EF4-FFF2-40B4-BE49-F238E27FC236}">
              <a16:creationId xmlns:a16="http://schemas.microsoft.com/office/drawing/2014/main" id="{B7D92E59-6BB3-4F80-91DE-1700431C2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" y="762000"/>
          <a:ext cx="455295" cy="436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192405</xdr:colOff>
      <xdr:row>4</xdr:row>
      <xdr:rowOff>57150</xdr:rowOff>
    </xdr:from>
    <xdr:to>
      <xdr:col>5</xdr:col>
      <xdr:colOff>66675</xdr:colOff>
      <xdr:row>7</xdr:row>
      <xdr:rowOff>36195</xdr:rowOff>
    </xdr:to>
    <xdr:pic>
      <xdr:nvPicPr>
        <xdr:cNvPr id="15" name="Image 230482461">
          <a:extLst>
            <a:ext uri="{FF2B5EF4-FFF2-40B4-BE49-F238E27FC236}">
              <a16:creationId xmlns:a16="http://schemas.microsoft.com/office/drawing/2014/main" id="{9BA7CD34-4790-40FE-8B6E-38CC7A3B6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8155" y="762000"/>
          <a:ext cx="417195" cy="436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100965</xdr:colOff>
      <xdr:row>5</xdr:row>
      <xdr:rowOff>93345</xdr:rowOff>
    </xdr:from>
    <xdr:to>
      <xdr:col>8</xdr:col>
      <xdr:colOff>262890</xdr:colOff>
      <xdr:row>6</xdr:row>
      <xdr:rowOff>173355</xdr:rowOff>
    </xdr:to>
    <xdr:pic>
      <xdr:nvPicPr>
        <xdr:cNvPr id="16" name="Image 57545504">
          <a:extLst>
            <a:ext uri="{FF2B5EF4-FFF2-40B4-BE49-F238E27FC236}">
              <a16:creationId xmlns:a16="http://schemas.microsoft.com/office/drawing/2014/main" id="{A2586B68-A7D0-4D04-90BC-C2BEB9D46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9640" y="893445"/>
          <a:ext cx="1581150" cy="2609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815340</xdr:colOff>
      <xdr:row>3</xdr:row>
      <xdr:rowOff>167640</xdr:rowOff>
    </xdr:from>
    <xdr:to>
      <xdr:col>4</xdr:col>
      <xdr:colOff>1257300</xdr:colOff>
      <xdr:row>6</xdr:row>
      <xdr:rowOff>131445</xdr:rowOff>
    </xdr:to>
    <xdr:pic>
      <xdr:nvPicPr>
        <xdr:cNvPr id="2" name="Image 902358290">
          <a:extLst>
            <a:ext uri="{FF2B5EF4-FFF2-40B4-BE49-F238E27FC236}">
              <a16:creationId xmlns:a16="http://schemas.microsoft.com/office/drawing/2014/main" id="{07A9FF4F-B0CB-466E-BC15-D3E607273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695325"/>
          <a:ext cx="0" cy="4210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224790</xdr:colOff>
      <xdr:row>4</xdr:row>
      <xdr:rowOff>57150</xdr:rowOff>
    </xdr:from>
    <xdr:to>
      <xdr:col>3</xdr:col>
      <xdr:colOff>819150</xdr:colOff>
      <xdr:row>7</xdr:row>
      <xdr:rowOff>53340</xdr:rowOff>
    </xdr:to>
    <xdr:pic>
      <xdr:nvPicPr>
        <xdr:cNvPr id="3" name="Image 223312745" descr="Service Public Régional Bruxelles Urbanisme et Patrimoine ...">
          <a:extLst>
            <a:ext uri="{FF2B5EF4-FFF2-40B4-BE49-F238E27FC236}">
              <a16:creationId xmlns:a16="http://schemas.microsoft.com/office/drawing/2014/main" id="{CBD11BD2-7172-4A21-A9EA-A0945C793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090" y="762000"/>
          <a:ext cx="822960" cy="4533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853440</xdr:colOff>
      <xdr:row>4</xdr:row>
      <xdr:rowOff>55245</xdr:rowOff>
    </xdr:from>
    <xdr:to>
      <xdr:col>3</xdr:col>
      <xdr:colOff>1769745</xdr:colOff>
      <xdr:row>7</xdr:row>
      <xdr:rowOff>53340</xdr:rowOff>
    </xdr:to>
    <xdr:pic>
      <xdr:nvPicPr>
        <xdr:cNvPr id="4" name="Image 1308056042">
          <a:extLst>
            <a:ext uri="{FF2B5EF4-FFF2-40B4-BE49-F238E27FC236}">
              <a16:creationId xmlns:a16="http://schemas.microsoft.com/office/drawing/2014/main" id="{F6BA7AC2-BA15-4C95-92BB-0299C1218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" y="760095"/>
          <a:ext cx="916305" cy="4552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1819275</xdr:colOff>
      <xdr:row>4</xdr:row>
      <xdr:rowOff>53340</xdr:rowOff>
    </xdr:from>
    <xdr:to>
      <xdr:col>3</xdr:col>
      <xdr:colOff>2272665</xdr:colOff>
      <xdr:row>7</xdr:row>
      <xdr:rowOff>11430</xdr:rowOff>
    </xdr:to>
    <xdr:pic>
      <xdr:nvPicPr>
        <xdr:cNvPr id="5" name="Image 902358290">
          <a:extLst>
            <a:ext uri="{FF2B5EF4-FFF2-40B4-BE49-F238E27FC236}">
              <a16:creationId xmlns:a16="http://schemas.microsoft.com/office/drawing/2014/main" id="{700C1979-2726-4542-A832-72EAA5B10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758190"/>
          <a:ext cx="453390" cy="4152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2297430</xdr:colOff>
      <xdr:row>4</xdr:row>
      <xdr:rowOff>53340</xdr:rowOff>
    </xdr:from>
    <xdr:to>
      <xdr:col>3</xdr:col>
      <xdr:colOff>3038475</xdr:colOff>
      <xdr:row>7</xdr:row>
      <xdr:rowOff>11430</xdr:rowOff>
    </xdr:to>
    <xdr:pic>
      <xdr:nvPicPr>
        <xdr:cNvPr id="6" name="Image 805677264">
          <a:extLst>
            <a:ext uri="{FF2B5EF4-FFF2-40B4-BE49-F238E27FC236}">
              <a16:creationId xmlns:a16="http://schemas.microsoft.com/office/drawing/2014/main" id="{CFE54A34-98B1-40C2-8D95-0207F674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1330" y="758190"/>
          <a:ext cx="741045" cy="4152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3065145</xdr:colOff>
      <xdr:row>4</xdr:row>
      <xdr:rowOff>57150</xdr:rowOff>
    </xdr:from>
    <xdr:to>
      <xdr:col>4</xdr:col>
      <xdr:colOff>148590</xdr:colOff>
      <xdr:row>7</xdr:row>
      <xdr:rowOff>36195</xdr:rowOff>
    </xdr:to>
    <xdr:pic>
      <xdr:nvPicPr>
        <xdr:cNvPr id="7" name="Image 747712534">
          <a:extLst>
            <a:ext uri="{FF2B5EF4-FFF2-40B4-BE49-F238E27FC236}">
              <a16:creationId xmlns:a16="http://schemas.microsoft.com/office/drawing/2014/main" id="{C8A12387-AFC8-4BB6-BAF9-6D7E933E2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9045" y="762000"/>
          <a:ext cx="455295" cy="436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182880</xdr:colOff>
      <xdr:row>4</xdr:row>
      <xdr:rowOff>57150</xdr:rowOff>
    </xdr:from>
    <xdr:to>
      <xdr:col>5</xdr:col>
      <xdr:colOff>57150</xdr:colOff>
      <xdr:row>7</xdr:row>
      <xdr:rowOff>36195</xdr:rowOff>
    </xdr:to>
    <xdr:pic>
      <xdr:nvPicPr>
        <xdr:cNvPr id="8" name="Image 230482461">
          <a:extLst>
            <a:ext uri="{FF2B5EF4-FFF2-40B4-BE49-F238E27FC236}">
              <a16:creationId xmlns:a16="http://schemas.microsoft.com/office/drawing/2014/main" id="{3C59A08C-D665-4D4C-8F96-9C862E3A1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8630" y="762000"/>
          <a:ext cx="417195" cy="436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91440</xdr:colOff>
      <xdr:row>5</xdr:row>
      <xdr:rowOff>93345</xdr:rowOff>
    </xdr:from>
    <xdr:to>
      <xdr:col>8</xdr:col>
      <xdr:colOff>253365</xdr:colOff>
      <xdr:row>6</xdr:row>
      <xdr:rowOff>173355</xdr:rowOff>
    </xdr:to>
    <xdr:pic>
      <xdr:nvPicPr>
        <xdr:cNvPr id="9" name="Image 57545504">
          <a:extLst>
            <a:ext uri="{FF2B5EF4-FFF2-40B4-BE49-F238E27FC236}">
              <a16:creationId xmlns:a16="http://schemas.microsoft.com/office/drawing/2014/main" id="{7937B27C-7E7B-4549-A756-4FDC57B2B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0115" y="893445"/>
          <a:ext cx="1581150" cy="2609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ebsimu.wffl.be/" TargetMode="External"/><Relationship Id="rId1" Type="http://schemas.openxmlformats.org/officeDocument/2006/relationships/hyperlink" Target="https://renovbizet.com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environnement.brussels/media/9019/download?attachment" TargetMode="External"/><Relationship Id="rId2" Type="http://schemas.openxmlformats.org/officeDocument/2006/relationships/hyperlink" Target="https://renolution.brussels/fr/les-categories-de-revenus-2023" TargetMode="External"/><Relationship Id="rId1" Type="http://schemas.openxmlformats.org/officeDocument/2006/relationships/hyperlink" Target="https://geodata.environnement.brussels/client/solar/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renovbizet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renovbizet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renovbizet.com/" TargetMode="External"/><Relationship Id="rId1" Type="http://schemas.openxmlformats.org/officeDocument/2006/relationships/hyperlink" Target="https://renolution.brussels/fr/les-primes-renolution-2023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87"/>
  <sheetViews>
    <sheetView showGridLines="0" tabSelected="1" view="pageBreakPreview" zoomScale="85" zoomScaleNormal="100" zoomScaleSheetLayoutView="85" workbookViewId="0">
      <selection activeCell="D14" sqref="D14"/>
    </sheetView>
  </sheetViews>
  <sheetFormatPr baseColWidth="10" defaultColWidth="11.44140625" defaultRowHeight="13.8"/>
  <cols>
    <col min="1" max="1" width="1.77734375" style="1" customWidth="1"/>
    <col min="2" max="2" width="5.44140625" style="1" customWidth="1"/>
    <col min="3" max="3" width="3.33203125" style="1" customWidth="1"/>
    <col min="4" max="4" width="49.109375" style="1" customWidth="1"/>
    <col min="5" max="5" width="20.109375" style="75" customWidth="1"/>
    <col min="6" max="6" width="7.6640625" style="1" customWidth="1"/>
    <col min="7" max="7" width="3.5546875" style="1" customWidth="1"/>
    <col min="8" max="8" width="10.44140625" style="1" customWidth="1"/>
    <col min="9" max="9" width="5.109375" style="1" customWidth="1"/>
    <col min="10" max="10" width="2.77734375" style="1" customWidth="1"/>
    <col min="11" max="11" width="12.33203125" style="1" customWidth="1"/>
    <col min="12" max="12" width="5.77734375" style="1" customWidth="1"/>
    <col min="13" max="13" width="4.109375" style="1" customWidth="1"/>
    <col min="14" max="14" width="18.44140625" style="1" customWidth="1"/>
    <col min="15" max="15" width="12.44140625" style="1" bestFit="1" customWidth="1"/>
    <col min="16" max="16" width="11.44140625" style="1"/>
    <col min="17" max="21" width="14.109375" style="1" customWidth="1"/>
    <col min="22" max="16384" width="11.44140625" style="1"/>
  </cols>
  <sheetData>
    <row r="2" spans="2:12" ht="14.4" thickBot="1"/>
    <row r="3" spans="2:12">
      <c r="B3" s="4"/>
      <c r="C3" s="5"/>
      <c r="D3" s="45" t="s">
        <v>407</v>
      </c>
      <c r="E3" s="76"/>
      <c r="F3" s="6"/>
      <c r="G3" s="7"/>
      <c r="H3" s="7"/>
      <c r="I3" s="7"/>
      <c r="J3" s="71"/>
      <c r="K3" s="7"/>
      <c r="L3" s="70"/>
    </row>
    <row r="4" spans="2:12" ht="14.4">
      <c r="B4" s="8"/>
      <c r="C4" s="125"/>
      <c r="D4" s="1" t="s">
        <v>266</v>
      </c>
      <c r="E4" s="124" t="s">
        <v>318</v>
      </c>
      <c r="F4" s="126"/>
      <c r="G4" s="127"/>
      <c r="I4" s="128"/>
      <c r="J4" s="128"/>
      <c r="K4" s="128"/>
      <c r="L4" s="9"/>
    </row>
    <row r="5" spans="2:12" ht="7.5" customHeight="1">
      <c r="B5" s="8"/>
      <c r="C5" s="125"/>
      <c r="E5" s="124" t="s">
        <v>318</v>
      </c>
      <c r="G5" s="127"/>
      <c r="H5" s="129"/>
      <c r="I5" s="128"/>
      <c r="J5" s="128"/>
      <c r="K5" s="128"/>
      <c r="L5" s="9"/>
    </row>
    <row r="6" spans="2:12" ht="14.4">
      <c r="B6" s="8"/>
      <c r="C6" s="125"/>
      <c r="D6" s="129"/>
      <c r="E6" s="124" t="s">
        <v>318</v>
      </c>
      <c r="F6" s="130"/>
      <c r="G6" s="127"/>
      <c r="H6" s="129"/>
      <c r="I6" s="128"/>
      <c r="J6" s="128"/>
      <c r="K6" s="128"/>
      <c r="L6" s="9"/>
    </row>
    <row r="7" spans="2:12" ht="14.4">
      <c r="B7" s="8"/>
      <c r="C7" s="125"/>
      <c r="D7" s="129"/>
      <c r="E7" s="124" t="s">
        <v>318</v>
      </c>
      <c r="F7" s="131"/>
      <c r="G7" s="127"/>
      <c r="H7" s="129"/>
      <c r="I7" s="128"/>
      <c r="J7" s="128"/>
      <c r="K7" s="128"/>
      <c r="L7" s="9"/>
    </row>
    <row r="8" spans="2:12" ht="6" customHeight="1" thickBot="1">
      <c r="B8" s="10"/>
      <c r="C8" s="11"/>
      <c r="D8" s="11"/>
      <c r="E8" s="132" t="s">
        <v>318</v>
      </c>
      <c r="F8" s="11"/>
      <c r="G8" s="11"/>
      <c r="H8" s="11"/>
      <c r="I8" s="12"/>
      <c r="J8" s="12"/>
      <c r="K8" s="12"/>
      <c r="L8" s="13"/>
    </row>
    <row r="9" spans="2:12" ht="15" thickBot="1">
      <c r="E9" s="124" t="s">
        <v>318</v>
      </c>
    </row>
    <row r="10" spans="2:12" ht="16.2" thickBot="1">
      <c r="B10" s="14"/>
      <c r="C10" s="15"/>
      <c r="D10" s="16" t="s">
        <v>9</v>
      </c>
      <c r="E10" s="77"/>
      <c r="F10" s="16"/>
      <c r="G10" s="15"/>
      <c r="H10" s="15"/>
      <c r="I10" s="15"/>
      <c r="J10" s="15"/>
      <c r="K10" s="15"/>
      <c r="L10" s="17"/>
    </row>
    <row r="12" spans="2:12">
      <c r="B12" s="34">
        <v>0</v>
      </c>
      <c r="C12" s="18"/>
      <c r="D12" s="18" t="s">
        <v>406</v>
      </c>
      <c r="E12" s="78"/>
      <c r="F12" s="18"/>
      <c r="G12" s="18"/>
      <c r="H12" s="18"/>
      <c r="I12" s="19"/>
      <c r="J12" s="36"/>
      <c r="K12" s="55"/>
      <c r="L12" s="54"/>
    </row>
    <row r="14" spans="2:12">
      <c r="B14" s="20"/>
      <c r="C14" s="61"/>
      <c r="D14" s="72" t="s">
        <v>412</v>
      </c>
      <c r="E14" s="1"/>
      <c r="F14" s="23"/>
      <c r="G14" s="105"/>
      <c r="H14" s="20"/>
      <c r="I14" s="21"/>
      <c r="J14" s="21"/>
      <c r="K14" s="47"/>
    </row>
    <row r="15" spans="2:12" ht="7.95" customHeight="1">
      <c r="B15" s="20"/>
      <c r="C15" s="61"/>
      <c r="D15" s="43"/>
      <c r="E15" s="66"/>
      <c r="F15" s="23"/>
      <c r="G15" s="20"/>
      <c r="H15" s="20"/>
      <c r="I15" s="21"/>
      <c r="J15" s="21"/>
      <c r="K15" s="47"/>
      <c r="L15" s="23"/>
    </row>
    <row r="16" spans="2:12">
      <c r="D16" s="117" t="s">
        <v>428</v>
      </c>
    </row>
    <row r="17" spans="2:12">
      <c r="D17" s="117" t="s">
        <v>429</v>
      </c>
    </row>
    <row r="18" spans="2:12" ht="7.95" customHeight="1">
      <c r="B18" s="20"/>
      <c r="C18" s="61"/>
      <c r="D18" s="138"/>
      <c r="E18" s="66"/>
      <c r="F18" s="23"/>
      <c r="G18" s="20"/>
      <c r="H18" s="20"/>
      <c r="I18" s="21"/>
      <c r="J18" s="21"/>
      <c r="K18" s="47"/>
      <c r="L18" s="23"/>
    </row>
    <row r="19" spans="2:12">
      <c r="B19" s="20"/>
      <c r="C19" s="20"/>
      <c r="D19" s="117" t="s">
        <v>410</v>
      </c>
      <c r="E19" s="79"/>
      <c r="F19" s="20"/>
      <c r="G19" s="20"/>
      <c r="H19" s="20"/>
      <c r="I19" s="21"/>
      <c r="J19" s="21"/>
      <c r="K19" s="21"/>
    </row>
    <row r="20" spans="2:12">
      <c r="B20" s="20"/>
      <c r="C20" s="20"/>
      <c r="D20" s="117" t="s">
        <v>432</v>
      </c>
      <c r="E20" s="79"/>
      <c r="F20" s="20"/>
      <c r="G20" s="20"/>
      <c r="H20" s="20"/>
      <c r="I20" s="21"/>
      <c r="J20" s="21"/>
      <c r="K20" s="21"/>
    </row>
    <row r="21" spans="2:12">
      <c r="B21" s="20"/>
      <c r="C21" s="20"/>
      <c r="D21" s="117" t="s">
        <v>408</v>
      </c>
      <c r="E21" s="79"/>
      <c r="F21" s="20"/>
      <c r="G21" s="20"/>
      <c r="H21" s="20"/>
      <c r="I21" s="21"/>
      <c r="J21" s="21"/>
      <c r="K21" s="21"/>
    </row>
    <row r="22" spans="2:12">
      <c r="B22" s="20"/>
      <c r="C22" s="20"/>
      <c r="D22" s="117" t="s">
        <v>409</v>
      </c>
      <c r="E22" s="79"/>
      <c r="F22" s="20"/>
      <c r="G22" s="20"/>
      <c r="H22" s="20"/>
      <c r="I22" s="21"/>
      <c r="J22" s="21"/>
      <c r="K22" s="21"/>
    </row>
    <row r="23" spans="2:12">
      <c r="B23" s="20"/>
      <c r="C23" s="61"/>
      <c r="D23" s="122"/>
      <c r="E23" s="1"/>
      <c r="F23" s="23"/>
      <c r="G23" s="105"/>
      <c r="H23" s="20"/>
      <c r="I23" s="21"/>
      <c r="J23" s="21"/>
      <c r="K23" s="47"/>
    </row>
    <row r="24" spans="2:12" ht="7.95" customHeight="1">
      <c r="B24" s="20"/>
      <c r="C24" s="61"/>
      <c r="D24" s="43"/>
      <c r="E24" s="66"/>
      <c r="F24" s="23"/>
      <c r="G24" s="20"/>
      <c r="H24" s="20"/>
      <c r="I24" s="21"/>
      <c r="J24" s="21"/>
      <c r="K24" s="47"/>
      <c r="L24" s="23"/>
    </row>
    <row r="25" spans="2:12">
      <c r="B25" s="20"/>
      <c r="C25" s="61"/>
      <c r="D25" s="72" t="s">
        <v>411</v>
      </c>
      <c r="E25" s="1"/>
      <c r="F25" s="23"/>
      <c r="G25" s="105"/>
      <c r="H25" s="20"/>
      <c r="I25" s="21"/>
      <c r="J25" s="21"/>
      <c r="K25" s="47"/>
    </row>
    <row r="26" spans="2:12" ht="7.95" customHeight="1">
      <c r="B26" s="20"/>
      <c r="C26" s="61"/>
      <c r="D26" s="43"/>
      <c r="E26" s="66"/>
      <c r="F26" s="23"/>
      <c r="G26" s="20"/>
      <c r="H26" s="20"/>
      <c r="I26" s="21"/>
      <c r="J26" s="21"/>
      <c r="K26" s="47"/>
      <c r="L26" s="23"/>
    </row>
    <row r="27" spans="2:12">
      <c r="B27" s="20"/>
      <c r="C27" s="61"/>
      <c r="D27" s="43" t="s">
        <v>413</v>
      </c>
      <c r="F27" s="23"/>
      <c r="G27" s="20"/>
      <c r="I27" s="21"/>
      <c r="J27" s="21"/>
      <c r="K27" s="47"/>
      <c r="L27" s="23"/>
    </row>
    <row r="28" spans="2:12">
      <c r="B28" s="20"/>
      <c r="C28" s="61"/>
      <c r="D28" s="117" t="s">
        <v>433</v>
      </c>
      <c r="E28" s="1"/>
      <c r="F28" s="23"/>
      <c r="G28" s="105"/>
      <c r="H28" s="20"/>
      <c r="I28" s="21"/>
      <c r="J28" s="21"/>
      <c r="K28" s="47"/>
    </row>
    <row r="29" spans="2:12">
      <c r="B29" s="20"/>
      <c r="C29" s="61"/>
      <c r="D29" s="117" t="s">
        <v>434</v>
      </c>
      <c r="E29" s="1"/>
      <c r="F29" s="23"/>
      <c r="G29" s="105"/>
      <c r="H29" s="20"/>
      <c r="I29" s="21"/>
      <c r="J29" s="21"/>
      <c r="K29" s="47"/>
    </row>
    <row r="30" spans="2:12">
      <c r="B30" s="20"/>
      <c r="C30" s="61"/>
      <c r="D30" s="117" t="s">
        <v>438</v>
      </c>
      <c r="E30" s="1"/>
      <c r="F30" s="23"/>
      <c r="G30" s="105"/>
      <c r="H30" s="20"/>
      <c r="I30" s="21"/>
      <c r="J30" s="21"/>
      <c r="K30" s="47"/>
    </row>
    <row r="31" spans="2:12" ht="7.95" customHeight="1">
      <c r="B31" s="20"/>
      <c r="C31" s="61"/>
      <c r="D31" s="43"/>
      <c r="E31" s="66"/>
      <c r="F31" s="23"/>
      <c r="G31" s="20"/>
      <c r="H31" s="20"/>
      <c r="I31" s="21"/>
      <c r="J31" s="21"/>
      <c r="K31" s="47"/>
      <c r="L31" s="23"/>
    </row>
    <row r="32" spans="2:12">
      <c r="B32" s="20"/>
      <c r="C32" s="61"/>
      <c r="D32" s="43" t="s">
        <v>414</v>
      </c>
      <c r="F32" s="23"/>
      <c r="G32" s="20"/>
      <c r="I32" s="21"/>
      <c r="J32" s="21"/>
      <c r="K32" s="47"/>
      <c r="L32" s="23"/>
    </row>
    <row r="33" spans="2:14">
      <c r="B33" s="20"/>
      <c r="C33" s="61"/>
      <c r="D33" s="117" t="s">
        <v>415</v>
      </c>
      <c r="E33" s="1"/>
      <c r="F33" s="23"/>
      <c r="G33" s="105"/>
      <c r="H33" s="20"/>
      <c r="I33" s="21"/>
      <c r="J33" s="21"/>
      <c r="K33" s="47"/>
    </row>
    <row r="34" spans="2:14">
      <c r="B34" s="20"/>
      <c r="C34" s="61"/>
      <c r="D34" s="117" t="s">
        <v>417</v>
      </c>
      <c r="E34" s="1"/>
      <c r="F34" s="23"/>
      <c r="G34" s="105"/>
      <c r="H34" s="20"/>
      <c r="I34" s="21"/>
      <c r="J34" s="21"/>
      <c r="K34" s="47"/>
    </row>
    <row r="35" spans="2:14" ht="7.95" customHeight="1">
      <c r="B35" s="20"/>
      <c r="C35" s="61"/>
      <c r="D35" s="43"/>
      <c r="E35" s="66"/>
      <c r="F35" s="23"/>
      <c r="G35" s="20"/>
      <c r="H35" s="20"/>
      <c r="I35" s="21"/>
      <c r="J35" s="21"/>
      <c r="K35" s="47"/>
      <c r="L35" s="23"/>
    </row>
    <row r="36" spans="2:14">
      <c r="B36" s="20"/>
      <c r="C36" s="61"/>
      <c r="D36" s="43" t="s">
        <v>418</v>
      </c>
      <c r="F36" s="23"/>
      <c r="G36" s="20"/>
      <c r="I36" s="21"/>
      <c r="J36" s="21"/>
      <c r="K36" s="47"/>
      <c r="L36" s="23"/>
    </row>
    <row r="37" spans="2:14">
      <c r="B37" s="20"/>
      <c r="C37" s="61"/>
      <c r="D37" s="117" t="s">
        <v>420</v>
      </c>
      <c r="E37" s="1"/>
      <c r="F37" s="23"/>
      <c r="G37" s="105"/>
      <c r="H37" s="20"/>
      <c r="I37" s="21"/>
      <c r="J37" s="21"/>
      <c r="K37" s="47"/>
    </row>
    <row r="38" spans="2:14">
      <c r="B38" s="20"/>
      <c r="C38" s="61"/>
      <c r="D38" s="117" t="s">
        <v>421</v>
      </c>
      <c r="E38" s="1"/>
      <c r="F38" s="23"/>
      <c r="G38" s="105"/>
      <c r="H38" s="20"/>
      <c r="I38" s="21"/>
      <c r="J38" s="21"/>
      <c r="K38" s="47"/>
    </row>
    <row r="39" spans="2:14">
      <c r="B39" s="20"/>
      <c r="C39" s="61"/>
      <c r="D39" s="117" t="s">
        <v>422</v>
      </c>
      <c r="E39" s="1"/>
      <c r="F39" s="23"/>
      <c r="G39" s="105"/>
      <c r="H39" s="20"/>
      <c r="I39" s="21"/>
      <c r="J39" s="21"/>
      <c r="K39" s="47"/>
    </row>
    <row r="40" spans="2:14">
      <c r="B40" s="20"/>
      <c r="C40" s="61"/>
      <c r="D40" s="122"/>
      <c r="E40" s="1"/>
      <c r="F40" s="23"/>
      <c r="G40" s="105"/>
      <c r="H40" s="20"/>
      <c r="I40" s="21"/>
      <c r="J40" s="21"/>
      <c r="K40" s="47"/>
    </row>
    <row r="41" spans="2:14" ht="7.95" customHeight="1">
      <c r="B41" s="20"/>
      <c r="C41" s="61"/>
      <c r="D41" s="43"/>
      <c r="E41" s="66"/>
      <c r="F41" s="23"/>
      <c r="G41" s="20"/>
      <c r="H41" s="20"/>
      <c r="I41" s="21"/>
      <c r="J41" s="21"/>
      <c r="K41" s="47"/>
      <c r="L41" s="23"/>
    </row>
    <row r="42" spans="2:14">
      <c r="B42" s="20"/>
      <c r="C42" s="61"/>
      <c r="D42" s="72" t="s">
        <v>423</v>
      </c>
      <c r="E42" s="1"/>
      <c r="F42" s="23"/>
      <c r="G42" s="105"/>
      <c r="H42" s="20"/>
      <c r="I42" s="21"/>
      <c r="J42" s="21"/>
      <c r="K42" s="47"/>
    </row>
    <row r="43" spans="2:14">
      <c r="B43" s="20"/>
      <c r="C43" s="61"/>
      <c r="D43" s="140" t="s">
        <v>425</v>
      </c>
      <c r="E43" s="1"/>
      <c r="F43" s="23"/>
      <c r="G43" s="105"/>
      <c r="H43" s="20"/>
      <c r="I43" s="21"/>
      <c r="J43" s="21"/>
      <c r="K43" s="47"/>
    </row>
    <row r="44" spans="2:14" ht="7.95" customHeight="1">
      <c r="B44" s="20"/>
      <c r="C44" s="61"/>
      <c r="D44" s="43"/>
      <c r="E44" s="66"/>
      <c r="F44" s="23"/>
      <c r="G44" s="20"/>
      <c r="H44" s="20"/>
      <c r="I44" s="21"/>
      <c r="J44" s="21"/>
      <c r="K44" s="47"/>
      <c r="L44" s="23"/>
    </row>
    <row r="45" spans="2:14">
      <c r="B45" s="20"/>
      <c r="C45" s="61"/>
      <c r="D45" s="113" t="s">
        <v>424</v>
      </c>
      <c r="E45" s="1"/>
      <c r="F45" s="23"/>
      <c r="G45" s="105"/>
      <c r="H45" s="20"/>
      <c r="I45" s="21"/>
      <c r="J45" s="21"/>
      <c r="K45" s="47"/>
    </row>
    <row r="46" spans="2:14" ht="7.95" customHeight="1" thickBot="1">
      <c r="B46" s="20"/>
      <c r="C46" s="61"/>
      <c r="D46" s="43"/>
      <c r="E46" s="66"/>
      <c r="F46" s="23"/>
      <c r="G46" s="105"/>
      <c r="H46" s="20"/>
      <c r="I46" s="21"/>
      <c r="J46" s="21"/>
      <c r="K46" s="47"/>
    </row>
    <row r="47" spans="2:14" ht="14.4" thickBot="1">
      <c r="D47" s="142" t="s">
        <v>458</v>
      </c>
      <c r="E47" s="164" t="str">
        <f>IF(OR('ENCODAGE DE MON PROJET'!E61="OUI",'ENCODAGE DE MON PROJET'!E62="OUI",'ENCODAGE DE MON PROJET'!E84="OUI"),"OUI","NON")</f>
        <v>NON</v>
      </c>
      <c r="F47" s="163" t="str">
        <f>IF(OR('ENCODAGE DE MON PROJET'!E61="OUI",'ENCODAGE DE MON PROJET'!E62="OUI",'ENCODAGE DE MON PROJET'!E84="OUI"),'ENCODAGE DE MON PROJET'!E64+'ENCODAGE DE MON PROJET'!E85," ")</f>
        <v xml:space="preserve"> </v>
      </c>
      <c r="G47" s="105" t="s">
        <v>11</v>
      </c>
      <c r="H47" s="20"/>
      <c r="I47" s="21"/>
      <c r="J47" s="21"/>
      <c r="K47" s="47"/>
    </row>
    <row r="48" spans="2:14" ht="14.4" thickBot="1">
      <c r="D48" s="143" t="s">
        <v>459</v>
      </c>
      <c r="E48" s="165" t="str">
        <f>'ENCODAGE DE MON PROJET'!E103</f>
        <v>NON</v>
      </c>
      <c r="F48" s="163" t="str">
        <f>IF('ENCODAGE DE MON PROJET'!E103="OUI",'ENCODAGE DE MON PROJET'!E104," ")</f>
        <v xml:space="preserve"> </v>
      </c>
      <c r="G48" s="105" t="s">
        <v>11</v>
      </c>
      <c r="H48" s="20"/>
      <c r="I48" s="21"/>
      <c r="J48" s="21"/>
      <c r="K48" s="47"/>
      <c r="N48" s="23"/>
    </row>
    <row r="49" spans="2:20" ht="14.4" thickBot="1">
      <c r="D49" s="143" t="s">
        <v>460</v>
      </c>
      <c r="E49" s="165" t="str">
        <f>IF('ENCODAGE DE MON PROJET'!E123="OUI","OUI par l'extérieur",IF('ENCODAGE DE MON PROJET'!E124="OUI","OUI par l'intérieur","NON"))</f>
        <v>NON</v>
      </c>
      <c r="F49" s="163" t="str">
        <f>IF(OR('ENCODAGE DE MON PROJET'!E123="OUI",'ENCODAGE DE MON PROJET'!E124="OUI"),'ENCODAGE DE MON PROJET'!E125," ")</f>
        <v xml:space="preserve"> </v>
      </c>
      <c r="G49" s="105" t="s">
        <v>11</v>
      </c>
      <c r="H49" s="20"/>
      <c r="I49" s="21"/>
      <c r="J49" s="21"/>
      <c r="K49" s="47"/>
    </row>
    <row r="50" spans="2:20" s="3" customFormat="1" ht="14.4" thickBot="1">
      <c r="B50" s="37"/>
      <c r="C50" s="37"/>
      <c r="D50" s="143" t="s">
        <v>461</v>
      </c>
      <c r="E50" s="165" t="str">
        <f>'ENCODAGE DE MON PROJET'!E153</f>
        <v>NON</v>
      </c>
      <c r="F50" s="163" t="str">
        <f>IF('ENCODAGE DE MON PROJET'!E153="OUI",'ENCODAGE DE MON PROJET'!E154," ")</f>
        <v xml:space="preserve"> </v>
      </c>
      <c r="G50" s="105" t="s">
        <v>11</v>
      </c>
      <c r="H50" s="20"/>
      <c r="I50" s="21"/>
      <c r="J50" s="21"/>
      <c r="K50" s="47"/>
      <c r="L50" s="1"/>
      <c r="P50" s="1"/>
      <c r="R50" s="1"/>
      <c r="S50" s="1"/>
      <c r="T50" s="1"/>
    </row>
    <row r="51" spans="2:20" s="3" customFormat="1" ht="14.4" thickBot="1">
      <c r="B51" s="37"/>
      <c r="C51" s="37"/>
      <c r="D51" s="143" t="s">
        <v>462</v>
      </c>
      <c r="E51" s="165" t="str">
        <f>'ENCODAGE DE MON PROJET'!E172</f>
        <v>NON</v>
      </c>
      <c r="F51" s="163" t="str">
        <f>IF('ENCODAGE DE MON PROJET'!E172="OUI",'ENCODAGE DE MON PROJET'!E173," ")</f>
        <v xml:space="preserve"> </v>
      </c>
      <c r="G51" s="105" t="s">
        <v>11</v>
      </c>
      <c r="H51" s="20"/>
      <c r="I51" s="21"/>
      <c r="J51" s="21"/>
      <c r="K51" s="47"/>
      <c r="L51" s="1"/>
      <c r="P51" s="1"/>
      <c r="R51" s="1"/>
      <c r="S51" s="1"/>
      <c r="T51" s="1"/>
    </row>
    <row r="52" spans="2:20" s="3" customFormat="1" ht="14.4" thickBot="1">
      <c r="B52" s="37"/>
      <c r="C52" s="37"/>
      <c r="D52" s="143" t="s">
        <v>463</v>
      </c>
      <c r="E52" s="165" t="str">
        <f>'ENCODAGE DE MON PROJET'!E191</f>
        <v>NON</v>
      </c>
      <c r="F52" s="163" t="str">
        <f>IF('ENCODAGE DE MON PROJET'!E191="OUI",'ENCODAGE DE MON PROJET'!E192," ")</f>
        <v xml:space="preserve"> </v>
      </c>
      <c r="G52" s="105" t="s">
        <v>11</v>
      </c>
      <c r="H52" s="20"/>
      <c r="I52" s="21"/>
      <c r="J52" s="21"/>
      <c r="K52" s="47"/>
      <c r="L52" s="1"/>
      <c r="P52" s="1"/>
      <c r="R52" s="1"/>
      <c r="S52" s="1"/>
      <c r="T52" s="1"/>
    </row>
    <row r="53" spans="2:20" s="3" customFormat="1" ht="14.4" thickBot="1">
      <c r="B53" s="37"/>
      <c r="C53" s="37"/>
      <c r="D53" s="143" t="s">
        <v>464</v>
      </c>
      <c r="E53" s="165" t="str">
        <f>'ENCODAGE DE MON PROJET'!E211</f>
        <v>NON</v>
      </c>
      <c r="F53" s="163" t="str">
        <f>IF('ENCODAGE DE MON PROJET'!E211="OUI",'ENCODAGE DE MON PROJET'!E212," ")</f>
        <v xml:space="preserve"> </v>
      </c>
      <c r="G53" s="105" t="s">
        <v>11</v>
      </c>
      <c r="H53" s="20"/>
      <c r="I53" s="21"/>
      <c r="J53" s="21"/>
      <c r="K53" s="47"/>
      <c r="L53" s="1"/>
      <c r="P53" s="1"/>
      <c r="R53" s="1"/>
      <c r="S53" s="1"/>
      <c r="T53" s="1"/>
    </row>
    <row r="54" spans="2:20" s="3" customFormat="1" ht="14.4" thickBot="1">
      <c r="B54" s="37"/>
      <c r="C54" s="37"/>
      <c r="D54" s="143" t="s">
        <v>465</v>
      </c>
      <c r="E54" s="165" t="str">
        <f>'ENCODAGE DE MON PROJET'!E230</f>
        <v>NON</v>
      </c>
      <c r="F54" s="163" t="str">
        <f>IF('ENCODAGE DE MON PROJET'!E230="OUI",'ENCODAGE DE MON PROJET'!E232," ")</f>
        <v xml:space="preserve"> </v>
      </c>
      <c r="G54" s="105" t="s">
        <v>11</v>
      </c>
      <c r="H54" s="20"/>
      <c r="I54" s="21"/>
      <c r="J54" s="21"/>
      <c r="K54" s="47"/>
      <c r="L54" s="1"/>
      <c r="P54" s="1"/>
      <c r="R54" s="1"/>
      <c r="S54" s="1"/>
      <c r="T54" s="1"/>
    </row>
    <row r="55" spans="2:20" ht="7.95" customHeight="1" thickBot="1">
      <c r="B55" s="20"/>
      <c r="C55" s="61"/>
      <c r="D55" s="43"/>
      <c r="E55" s="166"/>
      <c r="F55" s="23"/>
      <c r="G55" s="105"/>
      <c r="H55" s="20"/>
      <c r="I55" s="21"/>
      <c r="J55" s="21"/>
      <c r="K55" s="47"/>
    </row>
    <row r="56" spans="2:20" s="3" customFormat="1" ht="14.4" thickBot="1">
      <c r="B56" s="37"/>
      <c r="C56" s="37"/>
      <c r="D56" s="143" t="s">
        <v>468</v>
      </c>
      <c r="E56" s="165" t="str">
        <f>IF('ENCODAGE DE MON PROJET'!E251="OUI",IF('ENCODAGE DE MON PROJET'!E252="triple vitrage","OUI, triple vitrage","OUI, double vitrage"),"NON")</f>
        <v>NON</v>
      </c>
      <c r="F56" s="163" t="str">
        <f>IF('ENCODAGE DE MON PROJET'!E251="OUI",'ENCODAGE DE MON PROJET'!E256," ")</f>
        <v xml:space="preserve"> </v>
      </c>
      <c r="G56" s="105" t="s">
        <v>11</v>
      </c>
      <c r="H56" s="20"/>
      <c r="I56" s="21"/>
      <c r="J56" s="21"/>
      <c r="K56" s="47"/>
      <c r="L56" s="1"/>
      <c r="P56" s="1"/>
      <c r="R56" s="1"/>
      <c r="S56" s="1"/>
      <c r="T56" s="1"/>
    </row>
    <row r="57" spans="2:20" s="3" customFormat="1" ht="14.4" thickBot="1">
      <c r="B57" s="37"/>
      <c r="C57" s="37"/>
      <c r="D57" s="143" t="s">
        <v>467</v>
      </c>
      <c r="E57" s="165" t="str">
        <f>'ENCODAGE DE MON PROJET'!E274</f>
        <v>NON</v>
      </c>
      <c r="F57" s="162"/>
      <c r="G57" s="105"/>
      <c r="H57" s="20"/>
      <c r="I57" s="21"/>
      <c r="J57" s="21"/>
      <c r="K57" s="47"/>
      <c r="L57" s="1"/>
      <c r="P57" s="1"/>
      <c r="R57" s="1"/>
      <c r="S57" s="1"/>
      <c r="T57" s="1"/>
    </row>
    <row r="58" spans="2:20" s="3" customFormat="1" ht="14.4" thickBot="1">
      <c r="B58" s="37"/>
      <c r="C58" s="37"/>
      <c r="D58" s="143" t="s">
        <v>469</v>
      </c>
      <c r="E58" s="165" t="str">
        <f>IF('ENCODAGE DE MON PROJET'!E292="OUI",IF('ENCODAGE DE MON PROJET'!E293="triple vitrage","OUI, triple vitrage","OUI, double vitrage"),"NON")</f>
        <v>NON</v>
      </c>
      <c r="F58" s="162" t="str">
        <f>IF('ENCODAGE DE MON PROJET'!E292="OUI",'ENCODAGE DE MON PROJET'!E294," ")</f>
        <v xml:space="preserve"> </v>
      </c>
      <c r="G58" s="105" t="s">
        <v>475</v>
      </c>
      <c r="H58" s="20"/>
      <c r="I58" s="21"/>
      <c r="J58" s="21"/>
      <c r="K58" s="47"/>
      <c r="L58" s="1"/>
      <c r="P58" s="1"/>
      <c r="R58" s="1"/>
      <c r="S58" s="1"/>
      <c r="T58" s="1"/>
    </row>
    <row r="59" spans="2:20" s="3" customFormat="1" ht="14.4" thickBot="1">
      <c r="B59" s="37"/>
      <c r="C59" s="37"/>
      <c r="D59" s="143" t="s">
        <v>470</v>
      </c>
      <c r="E59" s="165" t="str">
        <f>IF('ENCODAGE DE MON PROJET'!E312="OUI",IF('ENCODAGE DE MON PROJET'!E313="triple vitrage","OUI, triple vitrage","OUI, double vitrage"),"NON")</f>
        <v>NON</v>
      </c>
      <c r="F59" s="162" t="str">
        <f>IF('ENCODAGE DE MON PROJET'!E312="OUI",'ENCODAGE DE MON PROJET'!E314," ")</f>
        <v xml:space="preserve"> </v>
      </c>
      <c r="G59" s="105" t="s">
        <v>475</v>
      </c>
      <c r="H59" s="20"/>
      <c r="I59" s="21"/>
      <c r="J59" s="21"/>
      <c r="K59" s="47"/>
      <c r="L59" s="1"/>
      <c r="P59" s="1"/>
      <c r="R59" s="1"/>
      <c r="S59" s="1"/>
      <c r="T59" s="1"/>
    </row>
    <row r="60" spans="2:20" ht="7.95" customHeight="1" thickBot="1">
      <c r="B60" s="20"/>
      <c r="C60" s="61"/>
      <c r="D60" s="43"/>
      <c r="E60" s="166"/>
      <c r="F60" s="23"/>
      <c r="G60" s="105"/>
      <c r="H60" s="20"/>
      <c r="I60" s="21"/>
      <c r="J60" s="21"/>
      <c r="K60" s="47"/>
    </row>
    <row r="61" spans="2:20" s="3" customFormat="1" ht="14.4" thickBot="1">
      <c r="B61" s="37"/>
      <c r="C61" s="37"/>
      <c r="D61" s="143" t="s">
        <v>471</v>
      </c>
      <c r="E61" s="165" t="str">
        <f>IF('ENCODAGE DE MON PROJET'!E333="OUI",IF('ENCODAGE DE MON PROJET'!E334="pompe à chaleur","OUI, PAC","OUI, chaudière"),"NON")</f>
        <v>NON</v>
      </c>
      <c r="F61" s="163"/>
      <c r="G61" s="105"/>
      <c r="H61" s="20"/>
      <c r="I61" s="21"/>
      <c r="J61" s="21"/>
      <c r="K61" s="47"/>
      <c r="L61" s="1"/>
      <c r="P61" s="1"/>
      <c r="R61" s="1"/>
      <c r="S61" s="1"/>
      <c r="T61" s="1"/>
    </row>
    <row r="62" spans="2:20" s="3" customFormat="1" ht="14.4" thickBot="1">
      <c r="B62" s="37"/>
      <c r="C62" s="37"/>
      <c r="D62" s="143" t="s">
        <v>472</v>
      </c>
      <c r="E62" s="165" t="str">
        <f>IF('ENCODAGE DE MON PROJET'!E371="OUI",IF('ENCODAGE DE MON PROJET'!E372="D (double flux)","OUI, double flux","OUI, simple flux"),"NON")</f>
        <v>NON</v>
      </c>
      <c r="F62" s="163"/>
      <c r="G62" s="105"/>
      <c r="H62" s="20"/>
      <c r="I62" s="21"/>
      <c r="J62" s="21"/>
      <c r="K62" s="47"/>
      <c r="L62" s="1"/>
      <c r="P62" s="1"/>
      <c r="R62" s="1"/>
      <c r="S62" s="1"/>
      <c r="T62" s="1"/>
    </row>
    <row r="63" spans="2:20" s="3" customFormat="1" ht="14.4" thickBot="1">
      <c r="B63" s="37"/>
      <c r="C63" s="37"/>
      <c r="D63" s="143" t="s">
        <v>473</v>
      </c>
      <c r="E63" s="165" t="str">
        <f>'ENCODAGE DE MON PROJET'!E400</f>
        <v>NON</v>
      </c>
      <c r="F63" s="162" t="str">
        <f>IF('ENCODAGE DE MON PROJET'!E400="OUI",'ENCODAGE DE MON PROJET'!E401," ")</f>
        <v xml:space="preserve"> </v>
      </c>
      <c r="G63" s="105" t="s">
        <v>474</v>
      </c>
      <c r="H63" s="20"/>
      <c r="I63" s="21"/>
      <c r="J63" s="21"/>
      <c r="K63" s="47"/>
      <c r="L63" s="1"/>
      <c r="P63" s="1"/>
      <c r="R63" s="1"/>
      <c r="S63" s="1"/>
      <c r="T63" s="1"/>
    </row>
    <row r="64" spans="2:20" ht="7.95" customHeight="1">
      <c r="B64" s="20"/>
      <c r="C64" s="61"/>
      <c r="D64" s="43"/>
      <c r="E64" s="66"/>
      <c r="F64" s="23"/>
      <c r="G64" s="105"/>
      <c r="H64" s="20"/>
      <c r="I64" s="21"/>
      <c r="J64" s="21"/>
      <c r="K64" s="47"/>
    </row>
    <row r="65" spans="2:20">
      <c r="B65" s="20"/>
      <c r="C65" s="61"/>
      <c r="D65" s="113" t="s">
        <v>426</v>
      </c>
      <c r="E65" s="1"/>
      <c r="F65" s="23"/>
      <c r="G65" s="105"/>
      <c r="H65" s="20"/>
      <c r="I65" s="21"/>
      <c r="J65" s="21"/>
      <c r="K65" s="47"/>
    </row>
    <row r="66" spans="2:20" ht="7.95" customHeight="1" thickBot="1">
      <c r="B66" s="20"/>
      <c r="C66" s="61"/>
      <c r="D66" s="43"/>
      <c r="E66" s="66"/>
      <c r="F66" s="23"/>
      <c r="G66" s="20"/>
      <c r="H66" s="20"/>
      <c r="I66" s="21"/>
      <c r="J66" s="21"/>
      <c r="K66" s="47"/>
      <c r="L66" s="23"/>
    </row>
    <row r="67" spans="2:20" ht="14.4" thickBot="1">
      <c r="D67" s="142" t="s">
        <v>22</v>
      </c>
      <c r="E67" s="15"/>
      <c r="F67" s="15"/>
      <c r="G67" s="15"/>
      <c r="H67" s="15"/>
      <c r="I67" s="15"/>
      <c r="J67" s="15"/>
      <c r="K67" s="146">
        <f>ESTIMATIF!L160</f>
        <v>840</v>
      </c>
      <c r="L67" s="23" t="s">
        <v>4</v>
      </c>
    </row>
    <row r="68" spans="2:20" ht="14.4" thickBot="1">
      <c r="D68" s="143" t="s">
        <v>21</v>
      </c>
      <c r="E68" s="144"/>
      <c r="F68" s="145"/>
      <c r="G68" s="144"/>
      <c r="H68" s="144"/>
      <c r="I68" s="144"/>
      <c r="J68" s="144"/>
      <c r="K68" s="146">
        <f>ESTIMATIF!L164</f>
        <v>882</v>
      </c>
      <c r="L68" s="23" t="s">
        <v>4</v>
      </c>
      <c r="N68" s="23"/>
    </row>
    <row r="69" spans="2:20" ht="14.4" thickBot="1">
      <c r="D69" s="143" t="s">
        <v>20</v>
      </c>
      <c r="E69" s="144"/>
      <c r="F69" s="144"/>
      <c r="G69" s="144"/>
      <c r="H69" s="144"/>
      <c r="I69" s="144"/>
      <c r="J69" s="144"/>
      <c r="K69" s="146">
        <f>ESTIMATIF!L168</f>
        <v>934.92</v>
      </c>
      <c r="L69" s="23" t="s">
        <v>5</v>
      </c>
    </row>
    <row r="70" spans="2:20" s="3" customFormat="1" ht="14.4" thickBot="1">
      <c r="B70" s="37"/>
      <c r="C70" s="37"/>
      <c r="D70" s="143" t="s">
        <v>18</v>
      </c>
      <c r="E70" s="144"/>
      <c r="F70" s="144"/>
      <c r="G70" s="144"/>
      <c r="H70" s="144"/>
      <c r="I70" s="144"/>
      <c r="J70" s="144"/>
      <c r="K70" s="146">
        <f>ESTIMATIF!L193</f>
        <v>3189.6339999999996</v>
      </c>
      <c r="L70" s="40" t="s">
        <v>5</v>
      </c>
      <c r="P70" s="1"/>
      <c r="R70" s="1"/>
      <c r="S70" s="1"/>
      <c r="T70" s="1"/>
    </row>
    <row r="71" spans="2:20" ht="7.95" customHeight="1">
      <c r="B71" s="20"/>
      <c r="C71" s="61"/>
      <c r="D71" s="43"/>
      <c r="E71" s="66"/>
      <c r="F71" s="23"/>
      <c r="G71" s="20"/>
      <c r="H71" s="20"/>
      <c r="I71" s="21"/>
      <c r="J71" s="21"/>
      <c r="K71" s="23"/>
    </row>
    <row r="72" spans="2:20">
      <c r="B72" s="20"/>
      <c r="C72" s="61"/>
      <c r="D72" s="113" t="s">
        <v>427</v>
      </c>
      <c r="E72" s="1"/>
      <c r="F72" s="23"/>
      <c r="G72" s="105"/>
      <c r="H72" s="20"/>
      <c r="I72" s="21"/>
      <c r="J72" s="21"/>
      <c r="K72" s="147"/>
    </row>
    <row r="73" spans="2:20" ht="7.95" customHeight="1" thickBot="1">
      <c r="B73" s="20"/>
      <c r="C73" s="61"/>
      <c r="D73" s="43"/>
      <c r="E73" s="66"/>
      <c r="F73" s="23"/>
      <c r="G73" s="20"/>
      <c r="H73" s="20"/>
      <c r="I73" s="21"/>
      <c r="J73" s="21"/>
      <c r="K73" s="148"/>
    </row>
    <row r="74" spans="2:20" s="3" customFormat="1" ht="14.4" thickBot="1">
      <c r="B74" s="37"/>
      <c r="C74" s="37"/>
      <c r="D74" s="143" t="s">
        <v>264</v>
      </c>
      <c r="E74" s="144"/>
      <c r="F74" s="144"/>
      <c r="G74" s="144"/>
      <c r="H74" s="144"/>
      <c r="I74" s="144"/>
      <c r="J74" s="144"/>
      <c r="K74" s="146">
        <f>PRIMES!L88</f>
        <v>0</v>
      </c>
      <c r="L74" s="40" t="s">
        <v>5</v>
      </c>
      <c r="P74" s="1"/>
      <c r="R74" s="1"/>
      <c r="S74" s="1"/>
      <c r="T74" s="1"/>
    </row>
    <row r="75" spans="2:20" s="3" customFormat="1" ht="14.4" thickBot="1">
      <c r="B75" s="37"/>
      <c r="C75" s="37"/>
      <c r="D75" s="143" t="s">
        <v>265</v>
      </c>
      <c r="E75" s="144"/>
      <c r="F75" s="144"/>
      <c r="G75" s="144"/>
      <c r="H75" s="144"/>
      <c r="I75" s="144"/>
      <c r="J75" s="144"/>
      <c r="K75" s="146">
        <f>K70-K74</f>
        <v>3189.6339999999996</v>
      </c>
      <c r="L75" s="40" t="s">
        <v>5</v>
      </c>
      <c r="P75" s="1"/>
      <c r="R75" s="1"/>
      <c r="S75" s="1"/>
      <c r="T75" s="1"/>
    </row>
    <row r="76" spans="2:20">
      <c r="D76" s="20"/>
      <c r="E76" s="20"/>
      <c r="F76" s="20"/>
      <c r="G76" s="20"/>
      <c r="H76" s="20"/>
      <c r="I76" s="20"/>
      <c r="J76" s="20"/>
      <c r="K76" s="20"/>
      <c r="L76" s="141"/>
      <c r="M76" s="23"/>
    </row>
    <row r="77" spans="2:20" ht="7.95" customHeight="1">
      <c r="B77" s="20"/>
      <c r="C77" s="61"/>
      <c r="D77" s="43"/>
      <c r="E77" s="66"/>
      <c r="F77" s="23"/>
      <c r="G77" s="20"/>
      <c r="H77" s="20"/>
      <c r="I77" s="21"/>
      <c r="J77" s="21"/>
      <c r="K77" s="47"/>
      <c r="L77" s="23"/>
    </row>
    <row r="78" spans="2:20">
      <c r="B78" s="20"/>
      <c r="C78" s="61"/>
      <c r="D78" s="72" t="s">
        <v>476</v>
      </c>
      <c r="E78" s="1"/>
      <c r="F78" s="23"/>
      <c r="G78" s="105"/>
      <c r="H78" s="20"/>
      <c r="I78" s="21"/>
      <c r="J78" s="21"/>
      <c r="K78" s="47"/>
    </row>
    <row r="79" spans="2:20" ht="7.95" customHeight="1">
      <c r="B79" s="20"/>
      <c r="C79" s="61"/>
      <c r="D79" s="43"/>
      <c r="E79" s="66"/>
      <c r="F79" s="23"/>
      <c r="G79" s="20"/>
      <c r="H79" s="20"/>
      <c r="I79" s="21"/>
      <c r="J79" s="21"/>
      <c r="K79" s="47"/>
      <c r="L79" s="23"/>
    </row>
    <row r="80" spans="2:20">
      <c r="B80" s="20"/>
      <c r="C80" s="61"/>
      <c r="D80" s="117" t="s">
        <v>478</v>
      </c>
      <c r="E80" s="1"/>
      <c r="F80" s="23"/>
      <c r="G80" s="105"/>
      <c r="H80" s="20"/>
      <c r="I80" s="21"/>
      <c r="J80" s="21"/>
      <c r="K80" s="47"/>
    </row>
    <row r="81" spans="2:20">
      <c r="B81" s="20"/>
      <c r="C81" s="61"/>
      <c r="D81" s="117" t="s">
        <v>479</v>
      </c>
      <c r="E81" s="1"/>
      <c r="F81" s="23"/>
      <c r="G81" s="105"/>
      <c r="H81" s="20"/>
      <c r="I81" s="21"/>
      <c r="J81" s="21"/>
      <c r="K81" s="47"/>
    </row>
    <row r="82" spans="2:20">
      <c r="B82" s="20"/>
      <c r="C82" s="61"/>
      <c r="D82" s="167" t="s">
        <v>477</v>
      </c>
      <c r="E82" s="1"/>
      <c r="F82" s="23"/>
      <c r="G82" s="105"/>
      <c r="H82" s="20"/>
      <c r="I82" s="21"/>
      <c r="J82" s="21"/>
      <c r="K82" s="47"/>
    </row>
    <row r="83" spans="2:20">
      <c r="B83" s="20"/>
      <c r="C83" s="61"/>
      <c r="D83" s="117"/>
      <c r="E83" s="1"/>
      <c r="F83" s="23"/>
      <c r="G83" s="105"/>
      <c r="H83" s="20"/>
      <c r="I83" s="21"/>
      <c r="J83" s="21"/>
      <c r="K83" s="47"/>
    </row>
    <row r="85" spans="2:20" ht="14.4">
      <c r="D85" s="135" t="s">
        <v>405</v>
      </c>
      <c r="E85" s="80"/>
      <c r="F85" s="41"/>
      <c r="T85" s="3"/>
    </row>
    <row r="86" spans="2:20" ht="14.4">
      <c r="D86" s="136" t="s">
        <v>404</v>
      </c>
      <c r="E86" s="80"/>
      <c r="F86" s="41"/>
    </row>
    <row r="87" spans="2:20" ht="14.4">
      <c r="D87" s="136"/>
      <c r="E87" s="80"/>
      <c r="F87" s="41"/>
    </row>
  </sheetData>
  <sheetProtection algorithmName="SHA-512" hashValue="bU4g0ljod+N9xoP3e50LUOyh89LNfRNmVkS5ELE4RsSSnMp7QcGTeYCbGg/27XZlSmFCCQyGGMu0+w5b1udFFg==" saltValue="G+/1gMLQiv+wKF1DPYipJQ==" spinCount="100000" sheet="1" objects="1" scenarios="1" selectLockedCells="1"/>
  <conditionalFormatting sqref="E47:E63">
    <cfRule type="expression" dxfId="21" priority="1">
      <formula>ISNUMBER(FIND("OUI",E47))</formula>
    </cfRule>
  </conditionalFormatting>
  <hyperlinks>
    <hyperlink ref="D86" r:id="rId1"/>
    <hyperlink ref="D45" location="'ENCODAGE DE MON PROJET'!A1" display="1 ENCODAGE DE MON PROJET"/>
    <hyperlink ref="D65" location="ESTIMATIF!A1" display="2 ESTIMATIF"/>
    <hyperlink ref="D72" location="PRIMES!A1" display="3 PRIMES"/>
    <hyperlink ref="D82" r:id="rId2"/>
  </hyperlinks>
  <pageMargins left="0.23622047244094488" right="0.23622047244094488" top="0.23622047244094488" bottom="0.23622047244094488" header="0.31496062992125984" footer="0.31496062992125984"/>
  <pageSetup paperSize="9" scale="75" fitToHeight="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pageSetUpPr fitToPage="1"/>
  </sheetPr>
  <dimension ref="B2:T423"/>
  <sheetViews>
    <sheetView showGridLines="0" view="pageBreakPreview" zoomScaleNormal="100" zoomScaleSheetLayoutView="100" workbookViewId="0">
      <selection activeCell="E17" sqref="E17"/>
    </sheetView>
  </sheetViews>
  <sheetFormatPr baseColWidth="10" defaultColWidth="11.44140625" defaultRowHeight="13.8"/>
  <cols>
    <col min="1" max="1" width="1.77734375" style="1" customWidth="1"/>
    <col min="2" max="2" width="5.44140625" style="1" customWidth="1"/>
    <col min="3" max="3" width="3.33203125" style="1" customWidth="1"/>
    <col min="4" max="4" width="49.109375" style="1" customWidth="1"/>
    <col min="5" max="5" width="20.109375" style="75" customWidth="1"/>
    <col min="6" max="6" width="7.6640625" style="1" customWidth="1"/>
    <col min="7" max="7" width="3.5546875" style="1" customWidth="1"/>
    <col min="8" max="8" width="10.44140625" style="1" customWidth="1"/>
    <col min="9" max="9" width="5.109375" style="1" customWidth="1"/>
    <col min="10" max="10" width="2.77734375" style="1" customWidth="1"/>
    <col min="11" max="11" width="12.33203125" style="1" customWidth="1"/>
    <col min="12" max="12" width="5.77734375" style="1" customWidth="1"/>
    <col min="13" max="13" width="4.109375" style="1" customWidth="1"/>
    <col min="14" max="14" width="18.44140625" style="1" customWidth="1"/>
    <col min="15" max="15" width="12.44140625" style="1" bestFit="1" customWidth="1"/>
    <col min="16" max="16" width="11.44140625" style="1"/>
    <col min="17" max="21" width="14.109375" style="1" customWidth="1"/>
    <col min="22" max="16384" width="11.44140625" style="1"/>
  </cols>
  <sheetData>
    <row r="2" spans="2:12" ht="14.4" thickBot="1"/>
    <row r="3" spans="2:12">
      <c r="B3" s="4"/>
      <c r="C3" s="5"/>
      <c r="D3" s="45" t="s">
        <v>407</v>
      </c>
      <c r="E3" s="76"/>
      <c r="F3" s="6"/>
      <c r="G3" s="7"/>
      <c r="H3" s="7"/>
      <c r="I3" s="7"/>
      <c r="J3" s="71"/>
      <c r="K3" s="7"/>
      <c r="L3" s="70"/>
    </row>
    <row r="4" spans="2:12" ht="14.4">
      <c r="B4" s="8"/>
      <c r="C4" s="125"/>
      <c r="D4" s="1" t="s">
        <v>266</v>
      </c>
      <c r="E4" s="124" t="s">
        <v>318</v>
      </c>
      <c r="F4" s="126"/>
      <c r="G4" s="127"/>
      <c r="I4" s="128"/>
      <c r="J4" s="128"/>
      <c r="K4" s="128"/>
      <c r="L4" s="9"/>
    </row>
    <row r="5" spans="2:12" ht="7.5" customHeight="1">
      <c r="B5" s="8"/>
      <c r="C5" s="125"/>
      <c r="E5" s="124" t="s">
        <v>318</v>
      </c>
      <c r="G5" s="127"/>
      <c r="H5" s="129"/>
      <c r="I5" s="128"/>
      <c r="J5" s="128"/>
      <c r="K5" s="128"/>
      <c r="L5" s="9"/>
    </row>
    <row r="6" spans="2:12" ht="14.4">
      <c r="B6" s="8"/>
      <c r="C6" s="125"/>
      <c r="D6" s="129"/>
      <c r="E6" s="124" t="s">
        <v>318</v>
      </c>
      <c r="F6" s="130"/>
      <c r="G6" s="127"/>
      <c r="H6" s="129"/>
      <c r="I6" s="128"/>
      <c r="J6" s="128"/>
      <c r="K6" s="128"/>
      <c r="L6" s="9"/>
    </row>
    <row r="7" spans="2:12" ht="14.4">
      <c r="B7" s="8"/>
      <c r="C7" s="125"/>
      <c r="D7" s="129"/>
      <c r="E7" s="124" t="s">
        <v>318</v>
      </c>
      <c r="F7" s="131"/>
      <c r="G7" s="127"/>
      <c r="H7" s="129"/>
      <c r="I7" s="128"/>
      <c r="J7" s="128"/>
      <c r="K7" s="128"/>
      <c r="L7" s="9"/>
    </row>
    <row r="8" spans="2:12" ht="6" customHeight="1" thickBot="1">
      <c r="B8" s="10"/>
      <c r="C8" s="11"/>
      <c r="D8" s="11"/>
      <c r="E8" s="132" t="s">
        <v>318</v>
      </c>
      <c r="F8" s="11"/>
      <c r="G8" s="11"/>
      <c r="H8" s="11"/>
      <c r="I8" s="12"/>
      <c r="J8" s="12"/>
      <c r="K8" s="12"/>
      <c r="L8" s="13"/>
    </row>
    <row r="9" spans="2:12" ht="15" thickBot="1">
      <c r="E9" s="124" t="s">
        <v>318</v>
      </c>
    </row>
    <row r="10" spans="2:12" ht="16.2" thickBot="1">
      <c r="B10" s="14"/>
      <c r="C10" s="15"/>
      <c r="D10" s="16" t="s">
        <v>9</v>
      </c>
      <c r="E10" s="77"/>
      <c r="F10" s="16"/>
      <c r="G10" s="15"/>
      <c r="H10" s="15"/>
      <c r="I10" s="15"/>
      <c r="J10" s="15"/>
      <c r="K10" s="15"/>
      <c r="L10" s="17"/>
    </row>
    <row r="12" spans="2:12">
      <c r="B12" s="34">
        <v>1</v>
      </c>
      <c r="C12" s="18"/>
      <c r="D12" s="18" t="s">
        <v>279</v>
      </c>
      <c r="E12" s="78"/>
      <c r="F12" s="18"/>
      <c r="G12" s="18"/>
      <c r="H12" s="18"/>
      <c r="I12" s="19"/>
      <c r="J12" s="36"/>
      <c r="K12" s="55"/>
      <c r="L12" s="54"/>
    </row>
    <row r="13" spans="2:12">
      <c r="B13" s="20"/>
      <c r="C13" s="20"/>
      <c r="D13" s="20"/>
      <c r="E13" s="79"/>
      <c r="F13" s="20"/>
      <c r="G13" s="20"/>
      <c r="H13" s="20"/>
      <c r="I13" s="21"/>
      <c r="J13" s="21"/>
      <c r="K13" s="21"/>
    </row>
    <row r="14" spans="2:12">
      <c r="B14" s="20"/>
      <c r="C14" s="61"/>
      <c r="D14" s="72" t="s">
        <v>267</v>
      </c>
      <c r="E14" s="66"/>
      <c r="F14" s="23"/>
      <c r="G14" s="20"/>
      <c r="H14" s="20"/>
      <c r="I14" s="21"/>
      <c r="J14" s="21"/>
      <c r="K14" s="47"/>
      <c r="L14" s="23"/>
    </row>
    <row r="15" spans="2:12" ht="7.95" customHeight="1">
      <c r="B15" s="20"/>
      <c r="C15" s="61"/>
      <c r="D15" s="43"/>
      <c r="E15" s="66"/>
      <c r="F15" s="23"/>
      <c r="G15" s="20"/>
      <c r="H15" s="20"/>
      <c r="I15" s="21"/>
      <c r="J15" s="21"/>
      <c r="K15" s="47"/>
      <c r="L15" s="23"/>
    </row>
    <row r="16" spans="2:12">
      <c r="B16" s="20"/>
      <c r="C16" s="61"/>
      <c r="D16" s="43" t="s">
        <v>268</v>
      </c>
      <c r="F16" s="23"/>
      <c r="G16" s="20"/>
      <c r="I16" s="21"/>
      <c r="J16" s="21"/>
      <c r="K16" s="47"/>
      <c r="L16" s="23"/>
    </row>
    <row r="17" spans="2:11">
      <c r="B17" s="20"/>
      <c r="C17" s="61"/>
      <c r="D17" s="42" t="s">
        <v>439</v>
      </c>
      <c r="E17" s="100">
        <v>0</v>
      </c>
      <c r="F17" s="23" t="s">
        <v>270</v>
      </c>
      <c r="G17" s="105" t="str">
        <f>IF(E17=0,"compléter la case"," ")</f>
        <v>compléter la case</v>
      </c>
      <c r="H17" s="20"/>
      <c r="I17" s="21"/>
      <c r="J17" s="21"/>
    </row>
    <row r="18" spans="2:11">
      <c r="B18" s="20"/>
      <c r="C18" s="61"/>
      <c r="D18" s="42" t="s">
        <v>440</v>
      </c>
      <c r="E18" s="100">
        <v>0</v>
      </c>
      <c r="F18" s="23" t="s">
        <v>270</v>
      </c>
      <c r="G18" s="105" t="str">
        <f t="shared" ref="G18" si="0">IF(E18=0,"compléter la case"," ")</f>
        <v>compléter la case</v>
      </c>
      <c r="H18" s="20"/>
      <c r="I18" s="21"/>
      <c r="J18" s="21"/>
      <c r="K18" s="47"/>
    </row>
    <row r="19" spans="2:11">
      <c r="B19" s="20"/>
      <c r="C19" s="61"/>
      <c r="D19" s="42" t="s">
        <v>441</v>
      </c>
      <c r="E19" s="100">
        <v>0</v>
      </c>
      <c r="F19" s="23" t="s">
        <v>270</v>
      </c>
      <c r="G19" s="105" t="str">
        <f t="shared" ref="G19" si="1">IF(E19=0,"compléter la case"," ")</f>
        <v>compléter la case</v>
      </c>
      <c r="H19" s="20"/>
      <c r="I19" s="21"/>
      <c r="J19" s="21"/>
      <c r="K19" s="47"/>
    </row>
    <row r="20" spans="2:11">
      <c r="B20" s="20"/>
      <c r="C20" s="61"/>
      <c r="D20" s="42" t="s">
        <v>442</v>
      </c>
      <c r="E20" s="101">
        <v>0</v>
      </c>
      <c r="F20" s="23"/>
      <c r="G20" s="105" t="str">
        <f t="shared" ref="G20" si="2">IF(E20=0,"compléter la case"," ")</f>
        <v>compléter la case</v>
      </c>
      <c r="H20" s="20"/>
      <c r="I20" s="21"/>
      <c r="J20" s="21"/>
      <c r="K20" s="47"/>
    </row>
    <row r="21" spans="2:11">
      <c r="B21" s="20"/>
      <c r="C21" s="61"/>
      <c r="D21" s="123" t="s">
        <v>299</v>
      </c>
      <c r="E21" s="1"/>
      <c r="F21" s="23"/>
      <c r="G21" s="106"/>
      <c r="H21" s="20"/>
      <c r="I21" s="21"/>
      <c r="J21" s="21"/>
      <c r="K21" s="47"/>
    </row>
    <row r="22" spans="2:11">
      <c r="B22" s="20"/>
      <c r="C22" s="61"/>
      <c r="D22" s="42" t="s">
        <v>443</v>
      </c>
      <c r="E22" s="103" t="s">
        <v>50</v>
      </c>
      <c r="F22" s="23"/>
      <c r="G22" s="106"/>
      <c r="H22" s="20"/>
      <c r="I22" s="21"/>
      <c r="J22" s="21"/>
      <c r="K22" s="47"/>
    </row>
    <row r="23" spans="2:11">
      <c r="B23" s="20"/>
      <c r="C23" s="61"/>
      <c r="D23" s="108" t="s">
        <v>444</v>
      </c>
      <c r="E23" s="107">
        <v>0</v>
      </c>
      <c r="F23" s="23" t="s">
        <v>270</v>
      </c>
      <c r="G23" s="105" t="str">
        <f>IF(AND(E22="OUI",E23=0),"compléter la case"," ")</f>
        <v>compléter la case</v>
      </c>
      <c r="H23" s="20"/>
      <c r="I23" s="21"/>
      <c r="J23" s="21"/>
      <c r="K23" s="47"/>
    </row>
    <row r="24" spans="2:11">
      <c r="B24" s="20"/>
      <c r="C24" s="61"/>
      <c r="D24" s="108" t="s">
        <v>445</v>
      </c>
      <c r="E24" s="107">
        <v>0</v>
      </c>
      <c r="F24" s="23" t="s">
        <v>270</v>
      </c>
      <c r="G24" s="105" t="str">
        <f>IF(AND(E22="OUI",E24=0),"compléter la case"," ")</f>
        <v>compléter la case</v>
      </c>
      <c r="H24" s="20"/>
      <c r="I24" s="21"/>
      <c r="J24" s="21"/>
      <c r="K24" s="47"/>
    </row>
    <row r="25" spans="2:11">
      <c r="B25" s="20"/>
      <c r="C25" s="61"/>
      <c r="D25" s="108" t="s">
        <v>446</v>
      </c>
      <c r="E25" s="107">
        <v>0</v>
      </c>
      <c r="F25" s="23" t="s">
        <v>270</v>
      </c>
      <c r="G25" s="105" t="str">
        <f>IF(AND(E22="OUI",E25=0),"compléter la case"," ")</f>
        <v>compléter la case</v>
      </c>
      <c r="H25" s="20"/>
      <c r="I25" s="21"/>
      <c r="J25" s="21"/>
      <c r="K25" s="47"/>
    </row>
    <row r="26" spans="2:11">
      <c r="B26" s="20"/>
      <c r="C26" s="61"/>
      <c r="D26" s="108" t="s">
        <v>447</v>
      </c>
      <c r="E26" s="101">
        <v>1</v>
      </c>
      <c r="F26" s="23"/>
      <c r="G26" s="105" t="str">
        <f t="shared" ref="G26" si="3">IF(E26=0,"compléter la case"," ")</f>
        <v xml:space="preserve"> </v>
      </c>
      <c r="H26" s="20"/>
      <c r="I26" s="21"/>
      <c r="J26" s="21"/>
      <c r="K26" s="47"/>
    </row>
    <row r="27" spans="2:11">
      <c r="B27" s="20"/>
      <c r="C27" s="61"/>
      <c r="D27" s="42" t="s">
        <v>284</v>
      </c>
      <c r="E27" s="23"/>
      <c r="F27" s="23"/>
      <c r="G27" s="105"/>
      <c r="H27" s="20"/>
      <c r="I27" s="21"/>
      <c r="J27" s="21"/>
      <c r="K27" s="47"/>
    </row>
    <row r="28" spans="2:11" s="117" customFormat="1">
      <c r="B28" s="113"/>
      <c r="C28" s="113"/>
      <c r="D28" s="108" t="s">
        <v>448</v>
      </c>
      <c r="E28" s="101">
        <v>0</v>
      </c>
      <c r="F28" s="114"/>
      <c r="G28" s="105" t="str">
        <f>IF(E28=0,"compléter la case"," ")</f>
        <v>compléter la case</v>
      </c>
      <c r="H28" s="113"/>
      <c r="I28" s="115"/>
      <c r="J28" s="115"/>
      <c r="K28" s="116"/>
    </row>
    <row r="29" spans="2:11" s="117" customFormat="1">
      <c r="B29" s="113"/>
      <c r="C29" s="113"/>
      <c r="D29" s="108" t="s">
        <v>449</v>
      </c>
      <c r="E29" s="101">
        <v>0</v>
      </c>
      <c r="F29" s="114"/>
      <c r="G29" s="105" t="str">
        <f>IF(E29=0,"compléter la case"," ")</f>
        <v>compléter la case</v>
      </c>
      <c r="H29" s="113"/>
      <c r="I29" s="115"/>
      <c r="J29" s="115"/>
      <c r="K29" s="116"/>
    </row>
    <row r="30" spans="2:11" s="117" customFormat="1">
      <c r="B30" s="113"/>
      <c r="C30" s="113"/>
      <c r="D30" s="108" t="s">
        <v>450</v>
      </c>
      <c r="E30" s="101">
        <v>0</v>
      </c>
      <c r="F30" s="114"/>
      <c r="G30" s="105" t="str">
        <f>IF(AND(E30=0,E22="OUI",F30),"compléter la case"," ")</f>
        <v>compléter la case</v>
      </c>
      <c r="H30" s="113"/>
      <c r="I30" s="115"/>
      <c r="J30" s="115"/>
      <c r="K30" s="116"/>
    </row>
    <row r="31" spans="2:11">
      <c r="B31" s="20"/>
      <c r="C31" s="61"/>
      <c r="D31" s="42" t="s">
        <v>271</v>
      </c>
      <c r="E31" s="111">
        <f>(E18*E19)*E20+E24*E25*E26</f>
        <v>0</v>
      </c>
      <c r="F31" s="23" t="s">
        <v>11</v>
      </c>
      <c r="G31" s="105"/>
      <c r="H31" s="20"/>
      <c r="I31" s="21"/>
      <c r="J31" s="21"/>
      <c r="K31" s="47"/>
    </row>
    <row r="32" spans="2:11">
      <c r="B32" s="20"/>
      <c r="C32" s="61"/>
      <c r="D32" s="43"/>
      <c r="E32" s="102"/>
      <c r="F32" s="23"/>
      <c r="G32" s="105"/>
      <c r="H32" s="20"/>
      <c r="I32" s="21"/>
      <c r="J32" s="21"/>
      <c r="K32" s="47"/>
    </row>
    <row r="33" spans="2:11">
      <c r="B33" s="20"/>
      <c r="C33" s="61"/>
      <c r="D33" s="43"/>
      <c r="E33" s="102"/>
      <c r="F33" s="23"/>
      <c r="G33" s="105"/>
      <c r="H33" s="20"/>
      <c r="I33" s="21"/>
      <c r="J33" s="21"/>
      <c r="K33" s="47"/>
    </row>
    <row r="34" spans="2:11">
      <c r="B34" s="20"/>
      <c r="C34" s="61"/>
      <c r="D34" s="43"/>
      <c r="E34" s="102"/>
      <c r="F34" s="23"/>
      <c r="G34" s="105"/>
      <c r="H34" s="20"/>
      <c r="I34" s="21"/>
      <c r="J34" s="21"/>
      <c r="K34" s="47"/>
    </row>
    <row r="35" spans="2:11">
      <c r="B35" s="20"/>
      <c r="C35" s="61"/>
      <c r="D35" s="43"/>
      <c r="E35" s="102"/>
      <c r="F35" s="23"/>
      <c r="G35" s="105"/>
      <c r="H35" s="20"/>
      <c r="I35" s="21"/>
      <c r="J35" s="21"/>
      <c r="K35" s="47"/>
    </row>
    <row r="36" spans="2:11">
      <c r="B36" s="20"/>
      <c r="C36" s="61"/>
      <c r="D36" s="43"/>
      <c r="E36" s="102"/>
      <c r="F36" s="23"/>
      <c r="G36" s="105"/>
      <c r="H36" s="20"/>
      <c r="I36" s="21"/>
      <c r="J36" s="21"/>
      <c r="K36" s="47"/>
    </row>
    <row r="37" spans="2:11">
      <c r="B37" s="20"/>
      <c r="C37" s="61"/>
      <c r="D37" s="43"/>
      <c r="E37" s="102"/>
      <c r="F37" s="23"/>
      <c r="G37" s="105"/>
      <c r="H37" s="20"/>
      <c r="I37" s="21"/>
      <c r="J37" s="21"/>
      <c r="K37" s="47"/>
    </row>
    <row r="38" spans="2:11">
      <c r="B38" s="20"/>
      <c r="C38" s="61"/>
      <c r="D38" s="43"/>
      <c r="E38" s="102"/>
      <c r="F38" s="23"/>
      <c r="G38" s="105"/>
      <c r="H38" s="20"/>
      <c r="I38" s="21"/>
      <c r="J38" s="21"/>
      <c r="K38" s="47"/>
    </row>
    <row r="39" spans="2:11">
      <c r="B39" s="20"/>
      <c r="C39" s="61"/>
      <c r="D39" s="43"/>
      <c r="E39" s="102"/>
      <c r="F39" s="23"/>
      <c r="G39" s="105"/>
      <c r="H39" s="20"/>
      <c r="I39" s="21"/>
      <c r="J39" s="21"/>
      <c r="K39" s="47"/>
    </row>
    <row r="40" spans="2:11">
      <c r="B40" s="20"/>
      <c r="C40" s="61"/>
      <c r="D40" s="43"/>
      <c r="E40" s="102"/>
      <c r="F40" s="23"/>
      <c r="G40" s="105"/>
      <c r="H40" s="20"/>
      <c r="I40" s="21"/>
      <c r="J40" s="21"/>
      <c r="K40" s="47"/>
    </row>
    <row r="41" spans="2:11">
      <c r="B41" s="20"/>
      <c r="C41" s="61"/>
      <c r="D41" s="43"/>
      <c r="E41" s="102"/>
      <c r="F41" s="23"/>
      <c r="G41" s="105"/>
      <c r="H41" s="20"/>
      <c r="I41" s="21"/>
      <c r="J41" s="21"/>
      <c r="K41" s="47"/>
    </row>
    <row r="42" spans="2:11">
      <c r="B42" s="20"/>
      <c r="C42" s="61"/>
      <c r="D42" s="43"/>
      <c r="E42" s="102"/>
      <c r="F42" s="23"/>
      <c r="G42" s="105"/>
      <c r="H42" s="20"/>
      <c r="I42" s="21"/>
      <c r="J42" s="21"/>
      <c r="K42" s="47"/>
    </row>
    <row r="43" spans="2:11">
      <c r="B43" s="20"/>
      <c r="C43" s="61"/>
      <c r="D43" s="43"/>
      <c r="E43" s="102"/>
      <c r="F43" s="23"/>
      <c r="G43" s="105"/>
      <c r="H43" s="20"/>
      <c r="I43" s="21"/>
      <c r="J43" s="21"/>
      <c r="K43" s="47"/>
    </row>
    <row r="44" spans="2:11">
      <c r="B44" s="20"/>
      <c r="C44" s="61"/>
      <c r="D44" s="43"/>
      <c r="E44" s="102"/>
      <c r="F44" s="23"/>
      <c r="G44" s="105"/>
      <c r="H44" s="20"/>
      <c r="I44" s="21"/>
      <c r="J44" s="21"/>
      <c r="K44" s="47"/>
    </row>
    <row r="45" spans="2:11">
      <c r="B45" s="20"/>
      <c r="C45" s="61"/>
      <c r="D45" s="43"/>
      <c r="E45" s="102"/>
      <c r="F45" s="23"/>
      <c r="G45" s="105"/>
      <c r="H45" s="20"/>
      <c r="I45" s="21"/>
      <c r="J45" s="21"/>
      <c r="K45" s="47"/>
    </row>
    <row r="46" spans="2:11">
      <c r="B46" s="20"/>
      <c r="C46" s="61"/>
      <c r="D46" s="43"/>
      <c r="E46" s="102"/>
      <c r="F46" s="23"/>
      <c r="G46" s="105"/>
      <c r="H46" s="20"/>
      <c r="I46" s="21"/>
      <c r="J46" s="21"/>
      <c r="K46" s="47"/>
    </row>
    <row r="47" spans="2:11">
      <c r="B47" s="20"/>
      <c r="C47" s="61"/>
      <c r="D47" s="43"/>
      <c r="E47" s="102"/>
      <c r="F47" s="23"/>
      <c r="G47" s="105"/>
      <c r="H47" s="20"/>
      <c r="I47" s="21"/>
      <c r="J47" s="21"/>
      <c r="K47" s="47"/>
    </row>
    <row r="48" spans="2:11">
      <c r="B48" s="20"/>
      <c r="C48" s="61"/>
      <c r="D48" s="43"/>
      <c r="E48" s="102"/>
      <c r="F48" s="23"/>
      <c r="G48" s="105"/>
      <c r="H48" s="20"/>
      <c r="I48" s="21"/>
      <c r="J48" s="21"/>
      <c r="K48" s="47"/>
    </row>
    <row r="49" spans="2:11">
      <c r="B49" s="20"/>
      <c r="C49" s="61"/>
      <c r="D49" s="43"/>
      <c r="E49" s="102"/>
      <c r="F49" s="23"/>
      <c r="G49" s="105"/>
      <c r="H49" s="20"/>
      <c r="I49" s="21"/>
      <c r="J49" s="21"/>
      <c r="K49" s="47"/>
    </row>
    <row r="50" spans="2:11">
      <c r="B50" s="20"/>
      <c r="C50" s="61"/>
      <c r="D50" s="43"/>
      <c r="E50" s="102"/>
      <c r="F50" s="23"/>
      <c r="G50" s="105"/>
      <c r="H50" s="20"/>
      <c r="I50" s="21"/>
      <c r="J50" s="21"/>
      <c r="K50" s="47"/>
    </row>
    <row r="51" spans="2:11">
      <c r="B51" s="20"/>
      <c r="C51" s="61"/>
      <c r="D51" s="43" t="s">
        <v>269</v>
      </c>
      <c r="E51" s="103" t="s">
        <v>28</v>
      </c>
      <c r="F51" s="23"/>
      <c r="G51" s="106"/>
      <c r="H51" s="20"/>
      <c r="I51" s="21"/>
      <c r="J51" s="21"/>
      <c r="K51" s="47"/>
    </row>
    <row r="52" spans="2:11" ht="7.95" customHeight="1">
      <c r="B52" s="20"/>
      <c r="C52" s="61"/>
      <c r="D52" s="43"/>
      <c r="E52" s="102"/>
      <c r="F52" s="23"/>
      <c r="G52" s="106"/>
      <c r="H52" s="20"/>
      <c r="I52" s="21"/>
      <c r="J52" s="21"/>
      <c r="K52" s="47"/>
    </row>
    <row r="53" spans="2:11">
      <c r="B53" s="20"/>
      <c r="C53" s="61"/>
      <c r="D53" s="43" t="s">
        <v>48</v>
      </c>
      <c r="E53" s="103" t="s">
        <v>219</v>
      </c>
      <c r="F53" s="23"/>
      <c r="G53" s="106"/>
      <c r="H53" s="20"/>
      <c r="I53" s="21"/>
      <c r="J53" s="21"/>
      <c r="K53" s="47"/>
    </row>
    <row r="54" spans="2:11">
      <c r="B54" s="20"/>
      <c r="C54" s="61"/>
      <c r="D54" s="122" t="s">
        <v>298</v>
      </c>
      <c r="E54" s="1"/>
      <c r="F54" s="23"/>
      <c r="G54" s="106"/>
      <c r="H54" s="20"/>
      <c r="I54" s="21"/>
      <c r="J54" s="21"/>
      <c r="K54" s="47"/>
    </row>
    <row r="55" spans="2:11" ht="14.4">
      <c r="B55" s="20"/>
      <c r="C55" s="61"/>
      <c r="D55" s="121" t="s">
        <v>278</v>
      </c>
      <c r="E55" s="1"/>
      <c r="F55" s="23"/>
      <c r="G55" s="106"/>
      <c r="H55" s="20"/>
      <c r="I55" s="21"/>
      <c r="J55" s="21"/>
      <c r="K55" s="47"/>
    </row>
    <row r="56" spans="2:11">
      <c r="B56" s="20"/>
      <c r="C56" s="20"/>
      <c r="D56" s="20"/>
      <c r="E56" s="79"/>
      <c r="F56" s="20"/>
      <c r="G56" s="75"/>
      <c r="H56" s="20"/>
      <c r="I56" s="21"/>
      <c r="J56" s="21"/>
      <c r="K56" s="21"/>
    </row>
    <row r="57" spans="2:11" ht="7.95" customHeight="1">
      <c r="B57" s="20"/>
      <c r="C57" s="61"/>
      <c r="D57" s="43"/>
      <c r="E57" s="102"/>
      <c r="F57" s="23"/>
      <c r="G57" s="106"/>
      <c r="H57" s="20"/>
      <c r="I57" s="21"/>
      <c r="J57" s="21"/>
      <c r="K57" s="47"/>
    </row>
    <row r="58" spans="2:11">
      <c r="B58" s="20"/>
      <c r="C58" s="61"/>
      <c r="D58" s="72" t="s">
        <v>62</v>
      </c>
      <c r="E58" s="102"/>
      <c r="F58" s="23"/>
      <c r="G58" s="106"/>
      <c r="H58" s="20"/>
      <c r="I58" s="21"/>
      <c r="J58" s="21"/>
      <c r="K58" s="47"/>
    </row>
    <row r="59" spans="2:11" ht="7.95" customHeight="1">
      <c r="B59" s="20"/>
      <c r="C59" s="61"/>
      <c r="D59" s="43"/>
      <c r="E59" s="102"/>
      <c r="F59" s="23"/>
      <c r="G59" s="106"/>
      <c r="H59" s="20"/>
      <c r="I59" s="21"/>
      <c r="J59" s="21"/>
      <c r="K59" s="47"/>
    </row>
    <row r="60" spans="2:11">
      <c r="B60" s="20"/>
      <c r="C60" s="61"/>
      <c r="D60" s="43" t="s">
        <v>29</v>
      </c>
      <c r="F60" s="23"/>
      <c r="G60" s="106"/>
      <c r="I60" s="21"/>
      <c r="J60" s="21"/>
      <c r="K60" s="47"/>
    </row>
    <row r="61" spans="2:11">
      <c r="B61" s="20"/>
      <c r="C61" s="61"/>
      <c r="D61" s="73" t="s">
        <v>301</v>
      </c>
      <c r="E61" s="103" t="s">
        <v>28</v>
      </c>
      <c r="F61" s="23"/>
      <c r="G61" s="105" t="str">
        <f>IF(AND(E61="OUI",E62="OUI"),"ERREUR: isoler la façade avant soit par l'intérieur, soit l'extérieur"," ")</f>
        <v xml:space="preserve"> </v>
      </c>
      <c r="H61" s="20"/>
      <c r="I61" s="21"/>
      <c r="J61" s="21"/>
      <c r="K61" s="47"/>
    </row>
    <row r="62" spans="2:11">
      <c r="B62" s="20"/>
      <c r="C62" s="61"/>
      <c r="D62" s="73" t="s">
        <v>300</v>
      </c>
      <c r="E62" s="103" t="s">
        <v>28</v>
      </c>
      <c r="F62" s="23"/>
      <c r="G62" s="105" t="str">
        <f>IF(AND(E61="OUI",E62="OUI"),"ERREUR: isoler la façade avant soit par l'intérieur, soit l'extérieur"," ")</f>
        <v xml:space="preserve"> </v>
      </c>
      <c r="H62" s="20"/>
      <c r="I62" s="21"/>
      <c r="J62" s="21"/>
      <c r="K62" s="47"/>
    </row>
    <row r="63" spans="2:11">
      <c r="B63" s="20"/>
      <c r="C63" s="61"/>
      <c r="D63" s="73" t="s">
        <v>61</v>
      </c>
      <c r="E63" s="104" t="s">
        <v>28</v>
      </c>
      <c r="F63" s="23"/>
      <c r="G63" s="105" t="str">
        <f>IF(AND(E61="NON",E63="OUI"),"la case ne peut pas être OUI si vous n'isolez pas par l'extérieur"," ")</f>
        <v xml:space="preserve"> </v>
      </c>
      <c r="H63" s="20"/>
      <c r="I63" s="21"/>
      <c r="J63" s="21"/>
      <c r="K63" s="47"/>
    </row>
    <row r="64" spans="2:11">
      <c r="B64" s="20"/>
      <c r="C64" s="61"/>
      <c r="D64" s="73" t="s">
        <v>59</v>
      </c>
      <c r="E64" s="107">
        <v>0</v>
      </c>
      <c r="F64" s="23" t="s">
        <v>11</v>
      </c>
      <c r="G64" s="105" t="str">
        <f>IF(AND(E61="OUI",E64=0),"compléter la case"," ")</f>
        <v xml:space="preserve"> </v>
      </c>
      <c r="H64" s="20"/>
      <c r="I64" s="21"/>
      <c r="J64" s="21"/>
      <c r="K64" s="47"/>
    </row>
    <row r="65" spans="2:12">
      <c r="B65" s="20"/>
      <c r="C65" s="61"/>
      <c r="D65" s="122" t="s">
        <v>302</v>
      </c>
      <c r="E65" s="111"/>
      <c r="F65" s="23"/>
      <c r="G65" s="105"/>
      <c r="H65" s="20"/>
      <c r="I65" s="21"/>
      <c r="J65" s="21"/>
      <c r="K65" s="47"/>
    </row>
    <row r="66" spans="2:12" ht="7.95" customHeight="1">
      <c r="B66" s="20"/>
      <c r="C66" s="61"/>
      <c r="D66" s="43"/>
      <c r="E66" s="102"/>
      <c r="F66" s="23"/>
      <c r="G66" s="20"/>
      <c r="H66" s="20"/>
      <c r="I66" s="21"/>
      <c r="J66" s="21"/>
      <c r="K66" s="47"/>
      <c r="L66" s="23"/>
    </row>
    <row r="67" spans="2:12">
      <c r="B67" s="20"/>
      <c r="C67" s="61"/>
      <c r="D67" s="122"/>
      <c r="E67" s="149" t="s">
        <v>310</v>
      </c>
      <c r="F67" s="23"/>
      <c r="G67" s="105"/>
      <c r="H67" s="20"/>
      <c r="I67" s="21"/>
      <c r="J67" s="21"/>
      <c r="K67" s="47"/>
    </row>
    <row r="68" spans="2:12">
      <c r="B68" s="20"/>
      <c r="C68" s="61"/>
      <c r="D68" s="122"/>
      <c r="E68" s="150" t="s">
        <v>303</v>
      </c>
      <c r="F68" s="23"/>
      <c r="G68" s="105"/>
      <c r="H68" s="20"/>
      <c r="I68" s="21"/>
      <c r="J68" s="21"/>
      <c r="K68" s="47"/>
    </row>
    <row r="69" spans="2:12">
      <c r="B69" s="20"/>
      <c r="C69" s="61"/>
      <c r="D69" s="122"/>
      <c r="E69" s="150" t="s">
        <v>304</v>
      </c>
      <c r="F69" s="23"/>
      <c r="G69" s="105"/>
      <c r="H69" s="20"/>
      <c r="I69" s="21"/>
      <c r="J69" s="21"/>
      <c r="K69" s="47"/>
    </row>
    <row r="70" spans="2:12">
      <c r="B70" s="20"/>
      <c r="C70" s="61"/>
      <c r="D70" s="122"/>
      <c r="E70" s="150" t="s">
        <v>315</v>
      </c>
      <c r="F70" s="23"/>
      <c r="G70" s="105"/>
      <c r="H70" s="20"/>
      <c r="I70" s="21"/>
      <c r="J70" s="21"/>
      <c r="K70" s="47"/>
    </row>
    <row r="71" spans="2:12">
      <c r="B71" s="20"/>
      <c r="C71" s="61"/>
      <c r="D71" s="122"/>
      <c r="E71" s="150" t="s">
        <v>305</v>
      </c>
      <c r="F71" s="23"/>
      <c r="G71" s="105"/>
      <c r="H71" s="20"/>
      <c r="I71" s="21"/>
      <c r="J71" s="21"/>
      <c r="K71" s="47"/>
    </row>
    <row r="72" spans="2:12">
      <c r="B72" s="20"/>
      <c r="C72" s="61"/>
      <c r="D72" s="122"/>
      <c r="E72" s="150" t="s">
        <v>306</v>
      </c>
      <c r="F72" s="23"/>
      <c r="G72" s="105"/>
      <c r="H72" s="20"/>
      <c r="I72" s="21"/>
      <c r="J72" s="21"/>
      <c r="K72" s="47"/>
    </row>
    <row r="73" spans="2:12">
      <c r="B73" s="20"/>
      <c r="C73" s="61"/>
      <c r="D73" s="122"/>
      <c r="E73" s="150" t="s">
        <v>307</v>
      </c>
      <c r="F73" s="23"/>
      <c r="G73" s="105"/>
      <c r="H73" s="20"/>
      <c r="I73" s="21"/>
      <c r="J73" s="21"/>
      <c r="K73" s="47"/>
    </row>
    <row r="74" spans="2:12">
      <c r="B74" s="20"/>
      <c r="C74" s="61"/>
      <c r="D74" s="122"/>
      <c r="E74" s="150" t="s">
        <v>308</v>
      </c>
      <c r="F74" s="23"/>
      <c r="G74" s="105"/>
      <c r="H74" s="20"/>
      <c r="I74" s="21"/>
      <c r="J74" s="21"/>
      <c r="K74" s="47"/>
    </row>
    <row r="75" spans="2:12">
      <c r="B75" s="20"/>
      <c r="C75" s="61"/>
      <c r="D75" s="122"/>
      <c r="E75" s="150" t="s">
        <v>309</v>
      </c>
      <c r="F75" s="23"/>
      <c r="G75" s="105"/>
      <c r="H75" s="20"/>
      <c r="I75" s="21"/>
      <c r="J75" s="21"/>
      <c r="K75" s="47"/>
    </row>
    <row r="76" spans="2:12">
      <c r="B76" s="20"/>
      <c r="C76" s="61"/>
      <c r="D76" s="122"/>
      <c r="E76" s="150" t="s">
        <v>312</v>
      </c>
      <c r="F76" s="23"/>
      <c r="G76" s="105"/>
      <c r="H76" s="20"/>
      <c r="I76" s="21"/>
      <c r="J76" s="21"/>
      <c r="K76" s="47"/>
    </row>
    <row r="77" spans="2:12">
      <c r="B77" s="20"/>
      <c r="C77" s="61"/>
      <c r="D77" s="122"/>
      <c r="E77" s="150"/>
      <c r="F77" s="23"/>
      <c r="G77" s="105"/>
      <c r="H77" s="20"/>
      <c r="I77" s="21"/>
      <c r="J77" s="21"/>
      <c r="K77" s="47"/>
    </row>
    <row r="78" spans="2:12">
      <c r="B78" s="20"/>
      <c r="C78" s="61"/>
      <c r="D78" s="122"/>
      <c r="E78" s="149" t="s">
        <v>316</v>
      </c>
      <c r="F78" s="23"/>
      <c r="G78" s="105"/>
      <c r="H78" s="20"/>
      <c r="I78" s="21"/>
      <c r="J78" s="21"/>
      <c r="K78" s="47"/>
    </row>
    <row r="79" spans="2:12">
      <c r="B79" s="20"/>
      <c r="C79" s="61"/>
      <c r="D79" s="122"/>
      <c r="E79" s="150" t="s">
        <v>311</v>
      </c>
      <c r="F79" s="23"/>
      <c r="G79" s="105"/>
      <c r="H79" s="20"/>
      <c r="I79" s="21"/>
      <c r="J79" s="21"/>
      <c r="K79" s="47"/>
    </row>
    <row r="80" spans="2:12">
      <c r="B80" s="20"/>
      <c r="C80" s="61"/>
      <c r="D80" s="122"/>
      <c r="E80" s="150" t="s">
        <v>313</v>
      </c>
      <c r="F80" s="23"/>
      <c r="G80" s="105"/>
      <c r="H80" s="20"/>
      <c r="I80" s="21"/>
      <c r="J80" s="21"/>
      <c r="K80" s="47"/>
    </row>
    <row r="81" spans="2:12">
      <c r="B81" s="20"/>
      <c r="C81" s="61"/>
      <c r="D81" s="122"/>
      <c r="E81" s="150" t="s">
        <v>314</v>
      </c>
      <c r="F81" s="23"/>
      <c r="G81" s="105"/>
      <c r="H81" s="20"/>
      <c r="I81" s="21"/>
      <c r="J81" s="21"/>
      <c r="K81" s="47"/>
    </row>
    <row r="82" spans="2:12">
      <c r="B82" s="20"/>
      <c r="C82" s="61"/>
      <c r="D82" s="122"/>
      <c r="E82" s="157"/>
      <c r="F82" s="23"/>
      <c r="G82" s="105"/>
      <c r="H82" s="20"/>
      <c r="I82" s="21"/>
      <c r="J82" s="21"/>
      <c r="K82" s="47"/>
    </row>
    <row r="83" spans="2:12">
      <c r="B83" s="20"/>
      <c r="C83" s="61"/>
      <c r="D83" s="43" t="s">
        <v>31</v>
      </c>
      <c r="F83" s="23"/>
      <c r="G83" s="106"/>
      <c r="I83" s="21"/>
      <c r="J83" s="21"/>
      <c r="K83" s="47"/>
    </row>
    <row r="84" spans="2:12">
      <c r="B84" s="20"/>
      <c r="C84" s="61"/>
      <c r="D84" s="73" t="s">
        <v>60</v>
      </c>
      <c r="E84" s="103" t="s">
        <v>28</v>
      </c>
      <c r="F84" s="23"/>
      <c r="G84" s="105"/>
      <c r="H84" s="20"/>
      <c r="I84" s="21"/>
      <c r="J84" s="21"/>
      <c r="K84" s="47"/>
    </row>
    <row r="85" spans="2:12">
      <c r="B85" s="20"/>
      <c r="C85" s="61"/>
      <c r="D85" s="73" t="s">
        <v>64</v>
      </c>
      <c r="E85" s="107">
        <v>0</v>
      </c>
      <c r="F85" s="23" t="s">
        <v>11</v>
      </c>
      <c r="G85" s="105" t="str">
        <f>IF(AND(E84="OUI",E85=0),"compléter la case"," ")</f>
        <v xml:space="preserve"> </v>
      </c>
      <c r="H85" s="20"/>
      <c r="I85" s="21"/>
      <c r="J85" s="21"/>
      <c r="K85" s="47"/>
    </row>
    <row r="86" spans="2:12" ht="7.95" customHeight="1">
      <c r="B86" s="20"/>
      <c r="C86" s="61"/>
      <c r="D86" s="43"/>
      <c r="E86" s="102"/>
      <c r="F86" s="23"/>
      <c r="G86" s="20"/>
      <c r="H86" s="20"/>
      <c r="I86" s="21"/>
      <c r="J86" s="21"/>
      <c r="K86" s="47"/>
      <c r="L86" s="23"/>
    </row>
    <row r="87" spans="2:12">
      <c r="B87" s="20"/>
      <c r="C87" s="61"/>
      <c r="D87" s="122"/>
      <c r="E87" s="149" t="s">
        <v>310</v>
      </c>
      <c r="F87" s="23"/>
      <c r="G87" s="105"/>
      <c r="H87" s="20"/>
      <c r="I87" s="21"/>
      <c r="J87" s="21"/>
      <c r="K87" s="47"/>
    </row>
    <row r="88" spans="2:12">
      <c r="B88" s="20"/>
      <c r="C88" s="61"/>
      <c r="D88" s="122"/>
      <c r="E88" s="150" t="s">
        <v>303</v>
      </c>
      <c r="F88" s="23"/>
      <c r="G88" s="105"/>
      <c r="H88" s="20"/>
      <c r="I88" s="21"/>
      <c r="J88" s="21"/>
      <c r="K88" s="47"/>
    </row>
    <row r="89" spans="2:12">
      <c r="B89" s="20"/>
      <c r="C89" s="61"/>
      <c r="D89" s="122"/>
      <c r="E89" s="150" t="s">
        <v>305</v>
      </c>
      <c r="F89" s="23"/>
      <c r="G89" s="105"/>
      <c r="H89" s="20"/>
      <c r="I89" s="21"/>
      <c r="J89" s="21"/>
      <c r="K89" s="47"/>
    </row>
    <row r="90" spans="2:12">
      <c r="B90" s="20"/>
      <c r="C90" s="61"/>
      <c r="D90" s="122"/>
      <c r="E90" s="150" t="s">
        <v>317</v>
      </c>
      <c r="F90" s="23"/>
      <c r="G90" s="105"/>
      <c r="H90" s="20"/>
      <c r="I90" s="21"/>
      <c r="J90" s="21"/>
      <c r="K90" s="47"/>
    </row>
    <row r="91" spans="2:12">
      <c r="B91" s="20"/>
      <c r="C91" s="61"/>
      <c r="D91" s="122"/>
      <c r="E91" s="150" t="s">
        <v>309</v>
      </c>
      <c r="F91" s="23"/>
      <c r="G91" s="105"/>
      <c r="H91" s="20"/>
      <c r="I91" s="21"/>
      <c r="J91" s="21"/>
      <c r="K91" s="47"/>
    </row>
    <row r="92" spans="2:12">
      <c r="B92" s="20"/>
      <c r="C92" s="61"/>
      <c r="D92" s="122"/>
      <c r="E92" s="150" t="s">
        <v>312</v>
      </c>
      <c r="F92" s="23"/>
      <c r="G92" s="105"/>
      <c r="H92" s="20"/>
      <c r="I92" s="21"/>
      <c r="J92" s="21"/>
      <c r="K92" s="47"/>
    </row>
    <row r="93" spans="2:12">
      <c r="B93" s="20"/>
      <c r="C93" s="61"/>
      <c r="D93" s="122"/>
      <c r="E93" s="150"/>
      <c r="F93" s="23"/>
      <c r="G93" s="105"/>
      <c r="H93" s="20"/>
      <c r="I93" s="21"/>
      <c r="J93" s="21"/>
      <c r="K93" s="47"/>
    </row>
    <row r="94" spans="2:12">
      <c r="B94" s="20"/>
      <c r="C94" s="61"/>
      <c r="D94" s="122"/>
      <c r="E94" s="149" t="s">
        <v>316</v>
      </c>
      <c r="F94" s="23"/>
      <c r="G94" s="105"/>
      <c r="H94" s="20"/>
      <c r="I94" s="21"/>
      <c r="J94" s="21"/>
      <c r="K94" s="47"/>
    </row>
    <row r="95" spans="2:12">
      <c r="B95" s="20"/>
      <c r="C95" s="61"/>
      <c r="D95" s="122"/>
      <c r="E95" s="150" t="s">
        <v>311</v>
      </c>
      <c r="F95" s="23"/>
      <c r="G95" s="105"/>
      <c r="H95" s="20"/>
      <c r="I95" s="21"/>
      <c r="J95" s="21"/>
      <c r="K95" s="47"/>
    </row>
    <row r="96" spans="2:12">
      <c r="B96" s="20"/>
      <c r="C96" s="61"/>
      <c r="D96" s="122"/>
      <c r="E96" s="150" t="s">
        <v>313</v>
      </c>
      <c r="F96" s="23"/>
      <c r="G96" s="105"/>
      <c r="H96" s="20"/>
      <c r="I96" s="21" t="s">
        <v>318</v>
      </c>
      <c r="J96" s="21"/>
      <c r="K96" s="47"/>
    </row>
    <row r="97" spans="2:12">
      <c r="B97" s="20"/>
      <c r="C97" s="61"/>
      <c r="D97" s="122"/>
      <c r="E97" s="150" t="s">
        <v>314</v>
      </c>
      <c r="F97" s="23"/>
      <c r="G97" s="105"/>
      <c r="H97" s="20"/>
      <c r="I97" s="21"/>
      <c r="J97" s="21"/>
      <c r="K97" s="47"/>
    </row>
    <row r="98" spans="2:12">
      <c r="B98" s="20"/>
      <c r="C98" s="61"/>
      <c r="D98" s="122"/>
      <c r="E98" s="152"/>
      <c r="F98" s="23"/>
      <c r="G98" s="105"/>
      <c r="H98" s="20"/>
      <c r="I98" s="21"/>
      <c r="J98" s="21"/>
      <c r="K98" s="47"/>
    </row>
    <row r="99" spans="2:12">
      <c r="B99" s="20"/>
      <c r="C99" s="61"/>
      <c r="D99" s="122"/>
      <c r="E99" s="152"/>
      <c r="F99" s="23"/>
      <c r="G99" s="105"/>
      <c r="H99" s="20"/>
      <c r="I99" s="21"/>
      <c r="J99" s="21"/>
      <c r="K99" s="47"/>
    </row>
    <row r="100" spans="2:12">
      <c r="B100" s="20"/>
      <c r="C100" s="61"/>
      <c r="D100" s="122"/>
      <c r="E100" s="152"/>
      <c r="F100" s="23"/>
      <c r="G100" s="105"/>
      <c r="H100" s="20"/>
      <c r="I100" s="21"/>
      <c r="J100" s="21"/>
      <c r="K100" s="47"/>
    </row>
    <row r="101" spans="2:12">
      <c r="B101" s="20"/>
      <c r="C101" s="61"/>
      <c r="D101" s="122"/>
      <c r="E101" s="111"/>
      <c r="F101" s="23"/>
      <c r="G101" s="105"/>
      <c r="H101" s="20"/>
      <c r="I101" s="21"/>
      <c r="J101" s="21"/>
      <c r="K101" s="47"/>
    </row>
    <row r="102" spans="2:12">
      <c r="B102" s="20"/>
      <c r="C102" s="61"/>
      <c r="D102" s="43" t="s">
        <v>30</v>
      </c>
      <c r="F102" s="23"/>
      <c r="G102" s="106"/>
      <c r="I102" s="21"/>
      <c r="J102" s="21"/>
      <c r="K102" s="47"/>
    </row>
    <row r="103" spans="2:12">
      <c r="B103" s="20"/>
      <c r="C103" s="61"/>
      <c r="D103" s="73" t="s">
        <v>60</v>
      </c>
      <c r="E103" s="103" t="s">
        <v>28</v>
      </c>
      <c r="F103" s="23"/>
      <c r="G103" s="106"/>
      <c r="H103" s="20"/>
      <c r="I103" s="21"/>
      <c r="J103" s="21"/>
      <c r="K103" s="47"/>
    </row>
    <row r="104" spans="2:12">
      <c r="B104" s="20"/>
      <c r="C104" s="61"/>
      <c r="D104" s="73" t="s">
        <v>64</v>
      </c>
      <c r="E104" s="107">
        <v>0</v>
      </c>
      <c r="F104" s="23" t="s">
        <v>11</v>
      </c>
      <c r="G104" s="105" t="str">
        <f>IF(AND(E103="OUI",E104=0),"compléter la case"," ")</f>
        <v xml:space="preserve"> </v>
      </c>
      <c r="H104" s="20"/>
      <c r="I104" s="21"/>
      <c r="J104" s="21"/>
      <c r="K104" s="47"/>
    </row>
    <row r="105" spans="2:12" ht="7.95" customHeight="1">
      <c r="B105" s="20"/>
      <c r="C105" s="61"/>
      <c r="D105" s="43"/>
      <c r="E105" s="102"/>
      <c r="F105" s="23"/>
      <c r="G105" s="20"/>
      <c r="H105" s="20"/>
      <c r="I105" s="21"/>
      <c r="J105" s="21"/>
      <c r="K105" s="47"/>
      <c r="L105" s="23"/>
    </row>
    <row r="106" spans="2:12">
      <c r="B106" s="20"/>
      <c r="C106" s="61"/>
      <c r="D106" s="122"/>
      <c r="E106" s="149" t="s">
        <v>310</v>
      </c>
      <c r="F106" s="23"/>
      <c r="G106" s="105"/>
      <c r="H106" s="20"/>
      <c r="I106" s="21"/>
      <c r="J106" s="21"/>
      <c r="K106" s="47"/>
    </row>
    <row r="107" spans="2:12">
      <c r="B107" s="20"/>
      <c r="C107" s="61"/>
      <c r="D107" s="122"/>
      <c r="E107" s="150" t="s">
        <v>303</v>
      </c>
      <c r="F107" s="23"/>
      <c r="G107" s="105"/>
      <c r="H107" s="20"/>
      <c r="I107" s="21"/>
      <c r="J107" s="21"/>
      <c r="K107" s="47"/>
    </row>
    <row r="108" spans="2:12">
      <c r="B108" s="20"/>
      <c r="C108" s="61"/>
      <c r="D108" s="122"/>
      <c r="E108" s="150" t="s">
        <v>305</v>
      </c>
      <c r="F108" s="23"/>
      <c r="G108" s="105"/>
      <c r="H108" s="20"/>
      <c r="I108" s="21"/>
      <c r="J108" s="21"/>
      <c r="K108" s="47"/>
    </row>
    <row r="109" spans="2:12">
      <c r="B109" s="20"/>
      <c r="C109" s="61"/>
      <c r="D109" s="122"/>
      <c r="E109" s="150" t="s">
        <v>317</v>
      </c>
      <c r="F109" s="23"/>
      <c r="G109" s="105"/>
      <c r="H109" s="20"/>
      <c r="I109" s="21"/>
      <c r="J109" s="21"/>
      <c r="K109" s="47"/>
    </row>
    <row r="110" spans="2:12">
      <c r="B110" s="20"/>
      <c r="C110" s="61"/>
      <c r="D110" s="122"/>
      <c r="E110" s="150" t="s">
        <v>309</v>
      </c>
      <c r="F110" s="23"/>
      <c r="G110" s="105"/>
      <c r="H110" s="20"/>
      <c r="I110" s="21"/>
      <c r="J110" s="21"/>
      <c r="K110" s="47"/>
    </row>
    <row r="111" spans="2:12">
      <c r="B111" s="20"/>
      <c r="C111" s="61"/>
      <c r="D111" s="122"/>
      <c r="E111" s="150" t="s">
        <v>312</v>
      </c>
      <c r="F111" s="23"/>
      <c r="G111" s="105"/>
      <c r="H111" s="20"/>
      <c r="I111" s="21"/>
      <c r="J111" s="21"/>
      <c r="K111" s="47"/>
    </row>
    <row r="112" spans="2:12">
      <c r="B112" s="20"/>
      <c r="C112" s="61"/>
      <c r="D112" s="122"/>
      <c r="E112" s="150"/>
      <c r="F112" s="23"/>
      <c r="G112" s="105"/>
      <c r="H112" s="20"/>
      <c r="I112" s="21"/>
      <c r="J112" s="21"/>
      <c r="K112" s="47"/>
    </row>
    <row r="113" spans="2:12">
      <c r="B113" s="20"/>
      <c r="C113" s="61"/>
      <c r="D113" s="122"/>
      <c r="E113" s="149" t="s">
        <v>316</v>
      </c>
      <c r="F113" s="23"/>
      <c r="G113" s="105"/>
      <c r="H113" s="20"/>
      <c r="I113" s="21"/>
      <c r="J113" s="21"/>
      <c r="K113" s="47"/>
    </row>
    <row r="114" spans="2:12">
      <c r="B114" s="20"/>
      <c r="C114" s="61"/>
      <c r="D114" s="122"/>
      <c r="E114" s="150" t="s">
        <v>311</v>
      </c>
      <c r="F114" s="23"/>
      <c r="G114" s="105"/>
      <c r="H114" s="20"/>
      <c r="I114" s="21"/>
      <c r="J114" s="21"/>
      <c r="K114" s="47"/>
    </row>
    <row r="115" spans="2:12">
      <c r="B115" s="20"/>
      <c r="C115" s="61"/>
      <c r="D115" s="122"/>
      <c r="E115" s="150" t="s">
        <v>313</v>
      </c>
      <c r="F115" s="23"/>
      <c r="G115" s="105"/>
      <c r="H115" s="20"/>
      <c r="I115" s="21" t="s">
        <v>318</v>
      </c>
      <c r="J115" s="21"/>
      <c r="K115" s="47"/>
    </row>
    <row r="116" spans="2:12">
      <c r="B116" s="20"/>
      <c r="C116" s="61"/>
      <c r="D116" s="122"/>
      <c r="E116" s="150" t="s">
        <v>314</v>
      </c>
      <c r="F116" s="23"/>
      <c r="G116" s="105"/>
      <c r="H116" s="20"/>
      <c r="I116" s="21"/>
      <c r="J116" s="21"/>
      <c r="K116" s="47"/>
    </row>
    <row r="117" spans="2:12">
      <c r="B117" s="20"/>
      <c r="C117" s="61"/>
      <c r="D117" s="122"/>
      <c r="E117" s="152"/>
      <c r="F117" s="23"/>
      <c r="G117" s="105"/>
      <c r="H117" s="20"/>
      <c r="I117" s="21"/>
      <c r="J117" s="21"/>
      <c r="K117" s="47"/>
    </row>
    <row r="118" spans="2:12">
      <c r="B118" s="20"/>
      <c r="C118" s="61"/>
      <c r="D118" s="122"/>
      <c r="E118" s="152"/>
      <c r="F118" s="23"/>
      <c r="G118" s="105"/>
      <c r="H118" s="20"/>
      <c r="I118" s="21"/>
      <c r="J118" s="21"/>
      <c r="K118" s="47"/>
    </row>
    <row r="119" spans="2:12">
      <c r="B119" s="20"/>
      <c r="C119" s="61"/>
      <c r="D119" s="122"/>
      <c r="E119" s="152"/>
      <c r="F119" s="23"/>
      <c r="G119" s="105"/>
      <c r="H119" s="20"/>
      <c r="I119" s="21"/>
      <c r="J119" s="21"/>
      <c r="K119" s="47"/>
    </row>
    <row r="120" spans="2:12">
      <c r="B120" s="20"/>
      <c r="C120" s="61"/>
      <c r="D120" s="122"/>
      <c r="E120" s="111"/>
      <c r="F120" s="23"/>
      <c r="G120" s="105"/>
      <c r="H120" s="20"/>
      <c r="I120" s="21"/>
      <c r="J120" s="21"/>
      <c r="K120" s="47"/>
    </row>
    <row r="121" spans="2:12" ht="7.95" customHeight="1">
      <c r="B121" s="20"/>
      <c r="C121" s="61"/>
      <c r="D121" s="43"/>
      <c r="E121" s="102"/>
      <c r="F121" s="23"/>
      <c r="G121" s="106"/>
      <c r="H121" s="20"/>
      <c r="I121" s="21"/>
      <c r="J121" s="21"/>
      <c r="K121" s="47"/>
    </row>
    <row r="122" spans="2:12">
      <c r="B122" s="20"/>
      <c r="C122" s="61"/>
      <c r="D122" s="43" t="s">
        <v>32</v>
      </c>
      <c r="F122" s="23"/>
      <c r="G122" s="20"/>
      <c r="I122" s="21"/>
      <c r="J122" s="21"/>
      <c r="K122" s="47"/>
      <c r="L122" s="23"/>
    </row>
    <row r="123" spans="2:12">
      <c r="B123" s="20"/>
      <c r="C123" s="61"/>
      <c r="D123" s="73" t="s">
        <v>71</v>
      </c>
      <c r="E123" s="103" t="s">
        <v>28</v>
      </c>
      <c r="F123" s="23"/>
      <c r="G123" s="105" t="str">
        <f>IF(AND(E123="OUI",E124="OUI"),"ERREUR: isoler la façade avant soit par l'intérieur, soit l'extérieur"," ")</f>
        <v xml:space="preserve"> </v>
      </c>
      <c r="H123" s="20"/>
      <c r="I123" s="21"/>
      <c r="J123" s="21"/>
      <c r="K123" s="47"/>
      <c r="L123" s="23"/>
    </row>
    <row r="124" spans="2:12">
      <c r="B124" s="20"/>
      <c r="C124" s="61"/>
      <c r="D124" s="73" t="s">
        <v>72</v>
      </c>
      <c r="E124" s="103" t="s">
        <v>28</v>
      </c>
      <c r="F124" s="23"/>
      <c r="G124" s="105" t="str">
        <f>IF(AND(E123="OUI",E124="OUI"),"ERREUR: isoler la façade avant soit par l'intérieur, soit l'extérieur"," ")</f>
        <v xml:space="preserve"> </v>
      </c>
      <c r="H124" s="20"/>
      <c r="I124" s="21"/>
      <c r="J124" s="21"/>
      <c r="K124" s="47"/>
      <c r="L124" s="23"/>
    </row>
    <row r="125" spans="2:12">
      <c r="B125" s="20"/>
      <c r="C125" s="61"/>
      <c r="D125" s="73" t="s">
        <v>64</v>
      </c>
      <c r="E125" s="107">
        <v>0</v>
      </c>
      <c r="F125" s="23" t="s">
        <v>11</v>
      </c>
      <c r="G125" s="105" t="str">
        <f>IF(AND(OR(E123="OUI",E124="OUI"),E125=0),"compléter la case"," ")</f>
        <v xml:space="preserve"> </v>
      </c>
      <c r="H125" s="20"/>
      <c r="I125" s="21"/>
      <c r="J125" s="21"/>
      <c r="K125" s="47"/>
      <c r="L125" s="23"/>
    </row>
    <row r="126" spans="2:12" ht="7.95" customHeight="1">
      <c r="B126" s="20"/>
      <c r="C126" s="61"/>
      <c r="D126" s="43"/>
      <c r="F126" s="23"/>
      <c r="G126" s="20"/>
      <c r="H126" s="20"/>
      <c r="I126" s="21"/>
      <c r="J126" s="21"/>
      <c r="K126" s="47"/>
      <c r="L126" s="23"/>
    </row>
    <row r="127" spans="2:12">
      <c r="B127" s="20"/>
      <c r="C127" s="61"/>
      <c r="D127" s="122"/>
      <c r="E127" s="155" t="s">
        <v>323</v>
      </c>
      <c r="F127" s="23"/>
      <c r="G127" s="105"/>
      <c r="H127" s="20"/>
      <c r="I127" s="21"/>
      <c r="J127" s="21"/>
      <c r="K127" s="47"/>
    </row>
    <row r="128" spans="2:12">
      <c r="B128" s="20"/>
      <c r="C128" s="61"/>
      <c r="D128" s="122"/>
      <c r="E128" s="156" t="s">
        <v>310</v>
      </c>
      <c r="F128" s="23"/>
      <c r="G128" s="105"/>
      <c r="H128" s="20"/>
      <c r="I128" s="21"/>
      <c r="J128" s="21"/>
      <c r="K128" s="47"/>
    </row>
    <row r="129" spans="2:11">
      <c r="B129" s="20"/>
      <c r="C129" s="61"/>
      <c r="D129" s="122"/>
      <c r="E129" s="153" t="s">
        <v>303</v>
      </c>
      <c r="F129" s="23"/>
      <c r="G129" s="105"/>
      <c r="H129" s="20"/>
      <c r="I129" s="21"/>
      <c r="J129" s="21"/>
      <c r="K129" s="47"/>
    </row>
    <row r="130" spans="2:11">
      <c r="B130" s="20"/>
      <c r="C130" s="61"/>
      <c r="D130" s="122"/>
      <c r="E130" s="153" t="s">
        <v>333</v>
      </c>
      <c r="F130" s="23"/>
      <c r="G130" s="105"/>
      <c r="H130" s="20"/>
      <c r="I130" s="21"/>
      <c r="J130" s="21"/>
      <c r="K130" s="47"/>
    </row>
    <row r="131" spans="2:11">
      <c r="B131" s="20"/>
      <c r="C131" s="61"/>
      <c r="D131" s="122"/>
      <c r="E131" s="153" t="s">
        <v>320</v>
      </c>
      <c r="F131" s="23"/>
      <c r="G131" s="105"/>
      <c r="H131" s="20"/>
      <c r="I131" s="21"/>
      <c r="J131" s="21"/>
      <c r="K131" s="47"/>
    </row>
    <row r="132" spans="2:11">
      <c r="B132" s="20"/>
      <c r="C132" s="61"/>
      <c r="D132" s="122"/>
      <c r="E132" s="153" t="s">
        <v>305</v>
      </c>
      <c r="F132" s="23"/>
      <c r="G132" s="105"/>
      <c r="H132" s="20"/>
      <c r="I132" s="21"/>
      <c r="J132" s="21"/>
      <c r="K132" s="47"/>
    </row>
    <row r="133" spans="2:11">
      <c r="B133" s="20"/>
      <c r="C133" s="61"/>
      <c r="D133" s="122"/>
      <c r="E133" s="153" t="s">
        <v>321</v>
      </c>
      <c r="F133" s="23"/>
      <c r="G133" s="105"/>
      <c r="H133" s="20"/>
      <c r="I133" s="21"/>
      <c r="J133" s="21"/>
      <c r="K133" s="47"/>
    </row>
    <row r="134" spans="2:11">
      <c r="B134" s="20"/>
      <c r="C134" s="61"/>
      <c r="D134" s="122"/>
      <c r="E134" s="153" t="s">
        <v>322</v>
      </c>
      <c r="F134" s="23"/>
      <c r="G134" s="105"/>
      <c r="H134" s="20"/>
      <c r="I134" s="21"/>
      <c r="J134" s="21"/>
      <c r="K134" s="47"/>
    </row>
    <row r="135" spans="2:11">
      <c r="B135" s="20"/>
      <c r="C135" s="61"/>
      <c r="D135" s="122"/>
      <c r="E135" s="151"/>
      <c r="F135" s="23"/>
      <c r="G135" s="105"/>
      <c r="H135" s="20"/>
      <c r="I135" s="21"/>
      <c r="J135" s="21"/>
      <c r="K135" s="47"/>
    </row>
    <row r="136" spans="2:11">
      <c r="B136" s="20"/>
      <c r="C136" s="61"/>
      <c r="D136" s="122"/>
      <c r="E136" s="156" t="s">
        <v>316</v>
      </c>
      <c r="F136" s="23"/>
      <c r="G136" s="105"/>
      <c r="H136" s="20"/>
      <c r="I136" s="21"/>
      <c r="J136" s="21"/>
      <c r="K136" s="47"/>
    </row>
    <row r="137" spans="2:11">
      <c r="B137" s="20"/>
      <c r="C137" s="61"/>
      <c r="D137" s="122"/>
      <c r="E137" s="153" t="s">
        <v>324</v>
      </c>
      <c r="F137" s="23"/>
      <c r="G137" s="105"/>
      <c r="H137" s="20"/>
      <c r="I137" s="21"/>
      <c r="J137" s="21"/>
      <c r="K137" s="47"/>
    </row>
    <row r="138" spans="2:11">
      <c r="B138" s="20"/>
      <c r="C138" s="61"/>
      <c r="D138" s="122"/>
      <c r="E138" s="153" t="s">
        <v>325</v>
      </c>
      <c r="F138" s="23"/>
      <c r="G138" s="105"/>
      <c r="H138" s="20"/>
      <c r="I138" s="21"/>
      <c r="J138" s="21"/>
      <c r="K138" s="47"/>
    </row>
    <row r="139" spans="2:11">
      <c r="B139" s="20"/>
      <c r="C139" s="61"/>
      <c r="D139" s="122"/>
      <c r="E139" s="150"/>
      <c r="F139" s="23"/>
      <c r="G139" s="105"/>
      <c r="H139" s="20"/>
      <c r="I139" s="21"/>
      <c r="J139" s="21"/>
      <c r="K139" s="47"/>
    </row>
    <row r="140" spans="2:11">
      <c r="B140" s="20"/>
      <c r="C140" s="61"/>
      <c r="D140" s="122"/>
      <c r="E140" s="155" t="s">
        <v>326</v>
      </c>
      <c r="F140" s="23"/>
      <c r="G140" s="105"/>
      <c r="H140" s="20"/>
      <c r="I140" s="21"/>
      <c r="J140" s="21"/>
      <c r="K140" s="47"/>
    </row>
    <row r="141" spans="2:11">
      <c r="B141" s="20"/>
      <c r="C141" s="61"/>
      <c r="D141" s="122"/>
      <c r="E141" s="153" t="s">
        <v>335</v>
      </c>
      <c r="F141" s="23"/>
      <c r="G141" s="105"/>
      <c r="H141" s="20"/>
      <c r="I141" s="21"/>
      <c r="J141" s="21"/>
      <c r="K141" s="47"/>
    </row>
    <row r="142" spans="2:11">
      <c r="B142" s="20"/>
      <c r="C142" s="61"/>
      <c r="D142" s="122"/>
      <c r="E142" s="156" t="s">
        <v>310</v>
      </c>
      <c r="F142" s="23"/>
      <c r="G142" s="105"/>
      <c r="H142" s="20"/>
      <c r="I142" s="21"/>
      <c r="J142" s="21"/>
      <c r="K142" s="47"/>
    </row>
    <row r="143" spans="2:11">
      <c r="B143" s="20"/>
      <c r="C143" s="61"/>
      <c r="D143" s="122"/>
      <c r="E143" s="153" t="s">
        <v>327</v>
      </c>
      <c r="F143" s="23"/>
      <c r="G143" s="105"/>
      <c r="H143" s="20"/>
      <c r="I143" s="21"/>
      <c r="J143" s="21"/>
      <c r="K143" s="47"/>
    </row>
    <row r="144" spans="2:11">
      <c r="B144" s="20"/>
      <c r="C144" s="61"/>
      <c r="D144" s="122"/>
      <c r="E144" s="153" t="s">
        <v>328</v>
      </c>
      <c r="F144" s="23"/>
      <c r="G144" s="105"/>
      <c r="H144" s="20"/>
      <c r="I144" s="21"/>
      <c r="J144" s="21"/>
      <c r="K144" s="47"/>
    </row>
    <row r="145" spans="2:12">
      <c r="B145" s="20"/>
      <c r="C145" s="61"/>
      <c r="D145" s="122"/>
      <c r="E145" s="153" t="s">
        <v>330</v>
      </c>
      <c r="F145" s="23"/>
      <c r="G145" s="105"/>
      <c r="H145" s="20"/>
      <c r="I145" s="21"/>
      <c r="J145" s="21"/>
      <c r="K145" s="47"/>
    </row>
    <row r="146" spans="2:12">
      <c r="B146" s="20"/>
      <c r="C146" s="61"/>
      <c r="D146" s="122"/>
      <c r="E146" s="153" t="s">
        <v>329</v>
      </c>
      <c r="F146" s="23"/>
      <c r="G146" s="105"/>
      <c r="H146" s="20"/>
      <c r="I146" s="21"/>
      <c r="J146" s="21"/>
      <c r="K146" s="47"/>
    </row>
    <row r="147" spans="2:12">
      <c r="B147" s="20"/>
      <c r="C147" s="61"/>
      <c r="D147" s="122"/>
      <c r="E147" s="153"/>
      <c r="F147" s="23"/>
      <c r="G147" s="105"/>
      <c r="H147" s="20"/>
      <c r="I147" s="21"/>
      <c r="J147" s="21"/>
      <c r="K147" s="47"/>
    </row>
    <row r="148" spans="2:12">
      <c r="B148" s="20"/>
      <c r="C148" s="61"/>
      <c r="D148" s="122"/>
      <c r="E148" s="156" t="s">
        <v>316</v>
      </c>
      <c r="F148" s="23"/>
      <c r="G148" s="105"/>
      <c r="H148" s="20"/>
      <c r="I148" s="21"/>
      <c r="J148" s="21"/>
      <c r="K148" s="47"/>
    </row>
    <row r="149" spans="2:12">
      <c r="B149" s="20"/>
      <c r="C149" s="61"/>
      <c r="D149" s="122"/>
      <c r="E149" s="153" t="s">
        <v>331</v>
      </c>
      <c r="F149" s="23"/>
      <c r="G149" s="105"/>
      <c r="H149" s="20"/>
      <c r="I149" s="21"/>
      <c r="J149" s="21"/>
      <c r="K149" s="47"/>
    </row>
    <row r="150" spans="2:12">
      <c r="B150" s="20"/>
      <c r="C150" s="61"/>
      <c r="D150" s="122"/>
      <c r="E150" s="153" t="s">
        <v>332</v>
      </c>
      <c r="F150" s="23"/>
      <c r="G150" s="105"/>
      <c r="H150" s="20"/>
      <c r="I150" s="21"/>
      <c r="J150" s="21"/>
      <c r="K150" s="47"/>
    </row>
    <row r="151" spans="2:12">
      <c r="B151" s="20"/>
      <c r="C151" s="61"/>
      <c r="D151" s="122"/>
      <c r="E151" s="117"/>
      <c r="F151" s="23"/>
      <c r="G151" s="105"/>
      <c r="H151" s="20"/>
      <c r="I151" s="21"/>
      <c r="J151" s="21"/>
      <c r="K151" s="47"/>
    </row>
    <row r="152" spans="2:12">
      <c r="B152" s="20"/>
      <c r="C152" s="61"/>
      <c r="D152" s="43" t="s">
        <v>33</v>
      </c>
      <c r="F152" s="23"/>
      <c r="G152" s="20"/>
      <c r="I152" s="21"/>
      <c r="J152" s="21"/>
      <c r="K152" s="47"/>
      <c r="L152" s="23"/>
    </row>
    <row r="153" spans="2:12">
      <c r="B153" s="20"/>
      <c r="C153" s="61"/>
      <c r="D153" s="73" t="s">
        <v>60</v>
      </c>
      <c r="E153" s="103" t="s">
        <v>28</v>
      </c>
      <c r="F153" s="23"/>
      <c r="G153" s="20"/>
      <c r="H153" s="20"/>
      <c r="I153" s="21"/>
      <c r="J153" s="21"/>
      <c r="K153" s="47"/>
      <c r="L153" s="23"/>
    </row>
    <row r="154" spans="2:12">
      <c r="B154" s="20"/>
      <c r="C154" s="61"/>
      <c r="D154" s="73" t="s">
        <v>64</v>
      </c>
      <c r="E154" s="107">
        <v>0</v>
      </c>
      <c r="F154" s="23" t="s">
        <v>11</v>
      </c>
      <c r="G154" s="105" t="str">
        <f>IF(AND(E153="OUI",E154=0),"compléter la case"," ")</f>
        <v xml:space="preserve"> </v>
      </c>
      <c r="H154" s="20"/>
      <c r="I154" s="21"/>
      <c r="J154" s="21"/>
      <c r="K154" s="47"/>
      <c r="L154" s="23"/>
    </row>
    <row r="155" spans="2:12" ht="7.95" customHeight="1">
      <c r="B155" s="20"/>
      <c r="C155" s="61"/>
      <c r="D155" s="43"/>
      <c r="F155" s="23"/>
      <c r="G155" s="20"/>
      <c r="H155" s="20"/>
      <c r="I155" s="21"/>
      <c r="J155" s="21"/>
      <c r="K155" s="47"/>
      <c r="L155" s="23"/>
    </row>
    <row r="156" spans="2:12">
      <c r="B156" s="20"/>
      <c r="C156" s="61"/>
      <c r="D156" s="122"/>
      <c r="E156" s="149" t="s">
        <v>310</v>
      </c>
      <c r="F156" s="23"/>
      <c r="G156" s="105"/>
      <c r="H156" s="20"/>
      <c r="I156" s="21"/>
      <c r="J156" s="21"/>
      <c r="K156" s="47"/>
    </row>
    <row r="157" spans="2:12">
      <c r="B157" s="20"/>
      <c r="C157" s="61"/>
      <c r="D157" s="122"/>
      <c r="E157" s="150" t="s">
        <v>303</v>
      </c>
      <c r="F157" s="23"/>
      <c r="G157" s="105"/>
      <c r="H157" s="20"/>
      <c r="I157" s="21"/>
      <c r="J157" s="21"/>
      <c r="K157" s="47"/>
    </row>
    <row r="158" spans="2:12">
      <c r="B158" s="20"/>
      <c r="C158" s="61"/>
      <c r="D158" s="122"/>
      <c r="E158" s="150" t="s">
        <v>333</v>
      </c>
      <c r="F158" s="23"/>
      <c r="G158" s="105"/>
      <c r="H158" s="20"/>
      <c r="I158" s="21"/>
      <c r="J158" s="21"/>
      <c r="K158" s="47"/>
    </row>
    <row r="159" spans="2:12">
      <c r="B159" s="20"/>
      <c r="C159" s="61"/>
      <c r="D159" s="122"/>
      <c r="E159" s="150" t="s">
        <v>320</v>
      </c>
      <c r="F159" s="23"/>
      <c r="G159" s="105"/>
      <c r="H159" s="20"/>
      <c r="I159" s="21"/>
      <c r="J159" s="21"/>
      <c r="K159" s="47"/>
    </row>
    <row r="160" spans="2:12">
      <c r="B160" s="20"/>
      <c r="C160" s="61"/>
      <c r="D160" s="122"/>
      <c r="E160" s="150" t="s">
        <v>305</v>
      </c>
      <c r="F160" s="23"/>
      <c r="G160" s="105"/>
      <c r="H160" s="20"/>
      <c r="I160" s="21"/>
      <c r="J160" s="21"/>
      <c r="K160" s="47"/>
    </row>
    <row r="161" spans="2:12">
      <c r="B161" s="20"/>
      <c r="C161" s="61"/>
      <c r="D161" s="122"/>
      <c r="E161" s="150" t="s">
        <v>321</v>
      </c>
      <c r="F161" s="23"/>
      <c r="G161" s="105"/>
      <c r="H161" s="20"/>
      <c r="I161" s="21"/>
      <c r="J161" s="21"/>
      <c r="K161" s="47"/>
    </row>
    <row r="162" spans="2:12">
      <c r="B162" s="20"/>
      <c r="C162" s="61"/>
      <c r="D162" s="122"/>
      <c r="E162" s="150" t="s">
        <v>322</v>
      </c>
      <c r="F162" s="23"/>
      <c r="G162" s="105"/>
      <c r="H162" s="20"/>
      <c r="I162" s="21"/>
      <c r="J162" s="21"/>
      <c r="K162" s="47"/>
    </row>
    <row r="163" spans="2:12">
      <c r="B163" s="20"/>
      <c r="C163" s="61"/>
      <c r="D163" s="122"/>
      <c r="E163" s="151"/>
      <c r="F163" s="23"/>
      <c r="G163" s="105"/>
      <c r="H163" s="20"/>
      <c r="I163" s="21"/>
      <c r="J163" s="21"/>
      <c r="K163" s="47"/>
    </row>
    <row r="164" spans="2:12">
      <c r="B164" s="20"/>
      <c r="C164" s="61"/>
      <c r="D164" s="122"/>
      <c r="E164" s="149" t="s">
        <v>316</v>
      </c>
      <c r="F164" s="23"/>
      <c r="G164" s="105"/>
      <c r="H164" s="20"/>
      <c r="I164" s="21"/>
      <c r="J164" s="21"/>
      <c r="K164" s="47"/>
    </row>
    <row r="165" spans="2:12">
      <c r="B165" s="20"/>
      <c r="C165" s="61"/>
      <c r="D165" s="122"/>
      <c r="E165" s="150" t="s">
        <v>324</v>
      </c>
      <c r="F165" s="23"/>
      <c r="G165" s="105"/>
      <c r="H165" s="20"/>
      <c r="I165" s="21"/>
      <c r="J165" s="21"/>
      <c r="K165" s="47"/>
    </row>
    <row r="166" spans="2:12">
      <c r="B166" s="20"/>
      <c r="C166" s="61"/>
      <c r="D166" s="122"/>
      <c r="E166" s="150" t="s">
        <v>325</v>
      </c>
      <c r="F166" s="23"/>
      <c r="G166" s="105"/>
      <c r="H166" s="20"/>
      <c r="I166" s="21"/>
      <c r="J166" s="21"/>
      <c r="K166" s="47"/>
    </row>
    <row r="167" spans="2:12">
      <c r="B167" s="20"/>
      <c r="C167" s="61"/>
      <c r="D167" s="122"/>
      <c r="E167" s="152"/>
      <c r="F167" s="23"/>
      <c r="G167" s="105"/>
      <c r="H167" s="20"/>
      <c r="I167" s="21"/>
      <c r="J167" s="21"/>
      <c r="K167" s="47"/>
    </row>
    <row r="168" spans="2:12">
      <c r="B168" s="20"/>
      <c r="C168" s="61"/>
      <c r="D168" s="122"/>
      <c r="E168" s="153"/>
      <c r="F168" s="23"/>
      <c r="G168" s="105"/>
      <c r="H168" s="20"/>
      <c r="I168" s="21"/>
      <c r="J168" s="21"/>
      <c r="K168" s="47"/>
    </row>
    <row r="169" spans="2:12">
      <c r="B169" s="20"/>
      <c r="C169" s="61"/>
      <c r="D169" s="122"/>
      <c r="E169" s="153"/>
      <c r="F169" s="23"/>
      <c r="G169" s="105"/>
      <c r="H169" s="20"/>
      <c r="I169" s="21"/>
      <c r="J169" s="21"/>
      <c r="K169" s="47"/>
    </row>
    <row r="170" spans="2:12">
      <c r="B170" s="20"/>
      <c r="C170" s="61"/>
      <c r="D170" s="122"/>
      <c r="E170" s="154"/>
      <c r="F170" s="23"/>
      <c r="G170" s="105"/>
      <c r="H170" s="20"/>
      <c r="I170" s="21"/>
      <c r="J170" s="21"/>
      <c r="K170" s="47"/>
    </row>
    <row r="171" spans="2:12">
      <c r="B171" s="20"/>
      <c r="C171" s="61"/>
      <c r="D171" s="43" t="s">
        <v>281</v>
      </c>
      <c r="F171" s="23"/>
      <c r="G171" s="20"/>
      <c r="I171" s="21"/>
      <c r="J171" s="21"/>
      <c r="K171" s="47"/>
      <c r="L171" s="23"/>
    </row>
    <row r="172" spans="2:12">
      <c r="B172" s="20"/>
      <c r="C172" s="61"/>
      <c r="D172" s="73" t="s">
        <v>60</v>
      </c>
      <c r="E172" s="103" t="s">
        <v>28</v>
      </c>
      <c r="F172" s="23"/>
      <c r="G172" s="20"/>
      <c r="H172" s="20"/>
      <c r="I172" s="21"/>
      <c r="J172" s="21"/>
      <c r="K172" s="47"/>
      <c r="L172" s="23"/>
    </row>
    <row r="173" spans="2:12">
      <c r="B173" s="20"/>
      <c r="C173" s="61"/>
      <c r="D173" s="73" t="s">
        <v>64</v>
      </c>
      <c r="E173" s="107">
        <v>0</v>
      </c>
      <c r="F173" s="23" t="s">
        <v>11</v>
      </c>
      <c r="G173" s="105" t="str">
        <f>IF(AND(E172="OUI",E173=0),"compléter la case"," ")</f>
        <v xml:space="preserve"> </v>
      </c>
      <c r="H173" s="20"/>
      <c r="I173" s="21"/>
      <c r="J173" s="21"/>
      <c r="K173" s="47"/>
      <c r="L173" s="23"/>
    </row>
    <row r="174" spans="2:12" ht="7.95" customHeight="1">
      <c r="B174" s="20"/>
      <c r="C174" s="61"/>
      <c r="D174" s="43"/>
      <c r="F174" s="23"/>
      <c r="G174" s="20"/>
      <c r="H174" s="20"/>
      <c r="I174" s="21"/>
      <c r="J174" s="21"/>
      <c r="K174" s="47"/>
      <c r="L174" s="23"/>
    </row>
    <row r="175" spans="2:12">
      <c r="B175" s="20"/>
      <c r="C175" s="61"/>
      <c r="D175" s="122"/>
      <c r="E175" s="149" t="s">
        <v>310</v>
      </c>
      <c r="F175" s="23"/>
      <c r="G175" s="105"/>
      <c r="H175" s="20"/>
      <c r="I175" s="21"/>
      <c r="J175" s="21"/>
      <c r="K175" s="47"/>
    </row>
    <row r="176" spans="2:12">
      <c r="B176" s="20"/>
      <c r="C176" s="61"/>
      <c r="D176" s="122"/>
      <c r="E176" s="150" t="s">
        <v>303</v>
      </c>
      <c r="F176" s="23"/>
      <c r="G176" s="105"/>
      <c r="H176" s="20"/>
      <c r="I176" s="21"/>
      <c r="J176" s="21"/>
      <c r="K176" s="47"/>
    </row>
    <row r="177" spans="2:12">
      <c r="B177" s="20"/>
      <c r="C177" s="61"/>
      <c r="D177" s="122"/>
      <c r="E177" s="150" t="s">
        <v>333</v>
      </c>
      <c r="F177" s="23"/>
      <c r="G177" s="105"/>
      <c r="H177" s="20"/>
      <c r="I177" s="21"/>
      <c r="J177" s="21"/>
      <c r="K177" s="47"/>
    </row>
    <row r="178" spans="2:12">
      <c r="B178" s="20"/>
      <c r="C178" s="61"/>
      <c r="D178" s="122"/>
      <c r="E178" s="150" t="s">
        <v>320</v>
      </c>
      <c r="F178" s="23"/>
      <c r="G178" s="105"/>
      <c r="H178" s="20"/>
      <c r="I178" s="21"/>
      <c r="J178" s="21"/>
      <c r="K178" s="47"/>
    </row>
    <row r="179" spans="2:12">
      <c r="B179" s="20"/>
      <c r="C179" s="61"/>
      <c r="D179" s="122"/>
      <c r="E179" s="150" t="s">
        <v>305</v>
      </c>
      <c r="F179" s="23"/>
      <c r="G179" s="105"/>
      <c r="H179" s="20"/>
      <c r="I179" s="21"/>
      <c r="J179" s="21"/>
      <c r="K179" s="47"/>
    </row>
    <row r="180" spans="2:12">
      <c r="B180" s="20"/>
      <c r="C180" s="61"/>
      <c r="D180" s="122"/>
      <c r="E180" s="150" t="s">
        <v>321</v>
      </c>
      <c r="F180" s="23"/>
      <c r="G180" s="105"/>
      <c r="H180" s="20"/>
      <c r="I180" s="21"/>
      <c r="J180" s="21"/>
      <c r="K180" s="47"/>
    </row>
    <row r="181" spans="2:12">
      <c r="B181" s="20"/>
      <c r="C181" s="61"/>
      <c r="D181" s="122"/>
      <c r="E181" s="150" t="s">
        <v>322</v>
      </c>
      <c r="F181" s="23"/>
      <c r="G181" s="105"/>
      <c r="H181" s="20"/>
      <c r="I181" s="21"/>
      <c r="J181" s="21"/>
      <c r="K181" s="47"/>
    </row>
    <row r="182" spans="2:12">
      <c r="B182" s="20"/>
      <c r="C182" s="61"/>
      <c r="D182" s="122"/>
      <c r="E182" s="151"/>
      <c r="F182" s="23"/>
      <c r="G182" s="105"/>
      <c r="H182" s="20"/>
      <c r="I182" s="21"/>
      <c r="J182" s="21"/>
      <c r="K182" s="47"/>
    </row>
    <row r="183" spans="2:12">
      <c r="B183" s="20"/>
      <c r="C183" s="61"/>
      <c r="D183" s="122"/>
      <c r="E183" s="149" t="s">
        <v>316</v>
      </c>
      <c r="F183" s="23"/>
      <c r="G183" s="105"/>
      <c r="H183" s="20"/>
      <c r="I183" s="21"/>
      <c r="J183" s="21"/>
      <c r="K183" s="47"/>
    </row>
    <row r="184" spans="2:12">
      <c r="B184" s="20"/>
      <c r="C184" s="61"/>
      <c r="D184" s="122"/>
      <c r="E184" s="150" t="s">
        <v>324</v>
      </c>
      <c r="F184" s="23"/>
      <c r="G184" s="105"/>
      <c r="H184" s="20"/>
      <c r="I184" s="21"/>
      <c r="J184" s="21"/>
      <c r="K184" s="47"/>
    </row>
    <row r="185" spans="2:12">
      <c r="B185" s="20"/>
      <c r="C185" s="61"/>
      <c r="D185" s="122"/>
      <c r="E185" s="150" t="s">
        <v>325</v>
      </c>
      <c r="F185" s="23"/>
      <c r="G185" s="105"/>
      <c r="H185" s="20"/>
      <c r="I185" s="21"/>
      <c r="J185" s="21"/>
      <c r="K185" s="47"/>
    </row>
    <row r="186" spans="2:12">
      <c r="B186" s="20"/>
      <c r="C186" s="61"/>
      <c r="D186" s="122"/>
      <c r="E186" s="152"/>
      <c r="F186" s="23"/>
      <c r="G186" s="105"/>
      <c r="H186" s="20"/>
      <c r="I186" s="21"/>
      <c r="J186" s="21"/>
      <c r="K186" s="47"/>
    </row>
    <row r="187" spans="2:12">
      <c r="B187" s="20"/>
      <c r="C187" s="61"/>
      <c r="D187" s="122"/>
      <c r="E187" s="153"/>
      <c r="F187" s="23"/>
      <c r="G187" s="105"/>
      <c r="H187" s="20"/>
      <c r="I187" s="21"/>
      <c r="J187" s="21"/>
      <c r="K187" s="47"/>
    </row>
    <row r="188" spans="2:12">
      <c r="B188" s="20"/>
      <c r="C188" s="61"/>
      <c r="D188" s="122"/>
      <c r="E188" s="153"/>
      <c r="F188" s="23"/>
      <c r="G188" s="105"/>
      <c r="H188" s="20"/>
      <c r="I188" s="21"/>
      <c r="J188" s="21"/>
      <c r="K188" s="47"/>
    </row>
    <row r="189" spans="2:12">
      <c r="B189" s="20"/>
      <c r="C189" s="61"/>
      <c r="D189" s="122"/>
      <c r="E189" s="154"/>
      <c r="F189" s="23"/>
      <c r="G189" s="105"/>
      <c r="H189" s="20"/>
      <c r="I189" s="21"/>
      <c r="J189" s="21"/>
      <c r="K189" s="47"/>
    </row>
    <row r="190" spans="2:12">
      <c r="B190" s="20"/>
      <c r="C190" s="61"/>
      <c r="D190" s="43" t="s">
        <v>34</v>
      </c>
      <c r="F190" s="23"/>
      <c r="G190" s="20"/>
      <c r="I190" s="21"/>
      <c r="J190" s="21"/>
      <c r="K190" s="47"/>
      <c r="L190" s="23"/>
    </row>
    <row r="191" spans="2:12">
      <c r="B191" s="20"/>
      <c r="C191" s="61"/>
      <c r="D191" s="73" t="s">
        <v>60</v>
      </c>
      <c r="E191" s="103" t="s">
        <v>28</v>
      </c>
      <c r="F191" s="23"/>
      <c r="G191" s="20"/>
      <c r="H191" s="20"/>
      <c r="I191" s="21"/>
      <c r="J191" s="21"/>
      <c r="K191" s="47"/>
      <c r="L191" s="23"/>
    </row>
    <row r="192" spans="2:12">
      <c r="B192" s="20"/>
      <c r="C192" s="61"/>
      <c r="D192" s="73" t="s">
        <v>59</v>
      </c>
      <c r="E192" s="107">
        <v>0</v>
      </c>
      <c r="F192" s="23" t="s">
        <v>11</v>
      </c>
      <c r="G192" s="105" t="str">
        <f>IF(AND(E191="OUI",E192=0),"compléter la case"," ")</f>
        <v xml:space="preserve"> </v>
      </c>
      <c r="H192" s="20"/>
      <c r="I192" s="21"/>
      <c r="J192" s="21"/>
      <c r="K192" s="47"/>
      <c r="L192" s="23"/>
    </row>
    <row r="193" spans="2:12" ht="7.95" customHeight="1">
      <c r="B193" s="20"/>
      <c r="C193" s="61"/>
      <c r="D193" s="43"/>
      <c r="F193" s="23"/>
      <c r="G193" s="20"/>
      <c r="H193" s="20"/>
      <c r="I193" s="21"/>
      <c r="J193" s="21"/>
      <c r="K193" s="47"/>
      <c r="L193" s="23"/>
    </row>
    <row r="194" spans="2:12">
      <c r="B194" s="20"/>
      <c r="C194" s="61"/>
      <c r="D194" s="122"/>
      <c r="E194" s="150" t="s">
        <v>334</v>
      </c>
      <c r="F194" s="23"/>
      <c r="G194" s="105"/>
      <c r="H194" s="20"/>
      <c r="I194" s="21"/>
      <c r="J194" s="21"/>
      <c r="K194" s="47"/>
    </row>
    <row r="195" spans="2:12">
      <c r="B195" s="20"/>
      <c r="C195" s="61"/>
      <c r="D195" s="122"/>
      <c r="E195" s="149" t="s">
        <v>310</v>
      </c>
      <c r="F195" s="23"/>
      <c r="G195" s="105"/>
      <c r="H195" s="20"/>
      <c r="I195" s="21"/>
      <c r="J195" s="21"/>
      <c r="K195" s="47"/>
    </row>
    <row r="196" spans="2:12">
      <c r="B196" s="20"/>
      <c r="C196" s="61"/>
      <c r="D196" s="122"/>
      <c r="E196" s="150" t="s">
        <v>303</v>
      </c>
      <c r="F196" s="23"/>
      <c r="G196" s="105"/>
      <c r="H196" s="20"/>
      <c r="I196" s="21"/>
      <c r="J196" s="21"/>
      <c r="K196" s="47"/>
    </row>
    <row r="197" spans="2:12">
      <c r="B197" s="20"/>
      <c r="C197" s="61"/>
      <c r="D197" s="122"/>
      <c r="E197" s="150" t="s">
        <v>305</v>
      </c>
      <c r="F197" s="23"/>
      <c r="G197" s="105"/>
      <c r="H197" s="20"/>
      <c r="I197" s="21"/>
      <c r="J197" s="21"/>
      <c r="K197" s="47"/>
    </row>
    <row r="198" spans="2:12">
      <c r="B198" s="20"/>
      <c r="C198" s="61"/>
      <c r="D198" s="122"/>
      <c r="E198" s="150" t="s">
        <v>321</v>
      </c>
      <c r="F198" s="23"/>
      <c r="G198" s="105"/>
      <c r="H198" s="20"/>
      <c r="I198" s="21"/>
      <c r="J198" s="21"/>
      <c r="K198" s="47"/>
    </row>
    <row r="199" spans="2:12">
      <c r="B199" s="20"/>
      <c r="C199" s="61"/>
      <c r="D199" s="122"/>
      <c r="E199" s="150" t="s">
        <v>322</v>
      </c>
      <c r="F199" s="23"/>
      <c r="G199" s="105"/>
      <c r="H199" s="20"/>
      <c r="I199" s="21"/>
      <c r="J199" s="21"/>
      <c r="K199" s="47"/>
    </row>
    <row r="200" spans="2:12">
      <c r="B200" s="20"/>
      <c r="C200" s="61"/>
      <c r="D200" s="122"/>
      <c r="E200" s="149"/>
      <c r="F200" s="23"/>
      <c r="G200" s="105"/>
      <c r="H200" s="20"/>
      <c r="I200" s="21"/>
      <c r="J200" s="21"/>
      <c r="K200" s="47"/>
    </row>
    <row r="201" spans="2:12">
      <c r="B201" s="20"/>
      <c r="C201" s="61"/>
      <c r="D201" s="122"/>
      <c r="E201" s="150"/>
      <c r="F201" s="23"/>
      <c r="G201" s="105"/>
      <c r="H201" s="20"/>
      <c r="I201" s="21"/>
      <c r="J201" s="21"/>
      <c r="K201" s="47"/>
    </row>
    <row r="202" spans="2:12">
      <c r="B202" s="20"/>
      <c r="C202" s="61"/>
      <c r="D202" s="122"/>
      <c r="E202" s="150"/>
      <c r="F202" s="23"/>
      <c r="G202" s="105"/>
      <c r="H202" s="20"/>
      <c r="I202" s="21"/>
      <c r="J202" s="21"/>
      <c r="K202" s="47"/>
    </row>
    <row r="203" spans="2:12">
      <c r="B203" s="20"/>
      <c r="C203" s="61"/>
      <c r="D203" s="122"/>
      <c r="E203" s="152"/>
      <c r="F203" s="23"/>
      <c r="G203" s="105"/>
      <c r="H203" s="20"/>
      <c r="I203" s="21"/>
      <c r="J203" s="21"/>
      <c r="K203" s="47"/>
    </row>
    <row r="204" spans="2:12">
      <c r="B204" s="20"/>
      <c r="C204" s="61"/>
      <c r="D204" s="122"/>
      <c r="E204" s="152"/>
      <c r="F204" s="23"/>
      <c r="G204" s="105"/>
      <c r="H204" s="20"/>
      <c r="I204" s="21"/>
      <c r="J204" s="21"/>
      <c r="K204" s="47"/>
    </row>
    <row r="205" spans="2:12">
      <c r="B205" s="20"/>
      <c r="C205" s="61"/>
      <c r="D205" s="122"/>
      <c r="E205" s="152"/>
      <c r="F205" s="23"/>
      <c r="G205" s="105"/>
      <c r="H205" s="20"/>
      <c r="I205" s="21"/>
      <c r="J205" s="21"/>
      <c r="K205" s="47"/>
    </row>
    <row r="206" spans="2:12">
      <c r="B206" s="20"/>
      <c r="C206" s="61"/>
      <c r="D206" s="122"/>
      <c r="E206" s="153"/>
      <c r="F206" s="23"/>
      <c r="G206" s="105"/>
      <c r="H206" s="20"/>
      <c r="I206" s="21"/>
      <c r="J206" s="21"/>
      <c r="K206" s="47"/>
    </row>
    <row r="207" spans="2:12">
      <c r="B207" s="20"/>
      <c r="C207" s="61"/>
      <c r="D207" s="122"/>
      <c r="E207" s="153"/>
      <c r="F207" s="23"/>
      <c r="G207" s="105"/>
      <c r="H207" s="20"/>
      <c r="I207" s="21"/>
      <c r="J207" s="21"/>
      <c r="K207" s="47"/>
    </row>
    <row r="208" spans="2:12">
      <c r="B208" s="20"/>
      <c r="C208" s="61"/>
      <c r="D208" s="122"/>
      <c r="E208" s="154"/>
      <c r="F208" s="23"/>
      <c r="G208" s="105"/>
      <c r="H208" s="20"/>
      <c r="I208" s="21"/>
      <c r="J208" s="21"/>
      <c r="K208" s="47"/>
    </row>
    <row r="209" spans="2:12" ht="7.95" customHeight="1">
      <c r="B209" s="20"/>
      <c r="C209" s="61"/>
      <c r="D209" s="43"/>
      <c r="F209" s="23"/>
      <c r="G209" s="20"/>
      <c r="H209" s="20"/>
      <c r="I209" s="21"/>
      <c r="J209" s="21"/>
      <c r="K209" s="47"/>
      <c r="L209" s="23"/>
    </row>
    <row r="210" spans="2:12">
      <c r="B210" s="20"/>
      <c r="C210" s="61"/>
      <c r="D210" s="43" t="s">
        <v>38</v>
      </c>
      <c r="F210" s="23"/>
      <c r="G210" s="20"/>
      <c r="I210" s="21"/>
      <c r="J210" s="21"/>
      <c r="K210" s="47"/>
      <c r="L210" s="23"/>
    </row>
    <row r="211" spans="2:12">
      <c r="B211" s="20"/>
      <c r="C211" s="61"/>
      <c r="D211" s="73" t="s">
        <v>60</v>
      </c>
      <c r="E211" s="103" t="s">
        <v>28</v>
      </c>
      <c r="F211" s="23"/>
      <c r="G211" s="20"/>
      <c r="H211" s="20"/>
      <c r="I211" s="21"/>
      <c r="J211" s="21"/>
      <c r="K211" s="47"/>
      <c r="L211" s="23"/>
    </row>
    <row r="212" spans="2:12">
      <c r="B212" s="20"/>
      <c r="C212" s="61"/>
      <c r="D212" s="73" t="s">
        <v>59</v>
      </c>
      <c r="E212" s="107">
        <v>0</v>
      </c>
      <c r="F212" s="23" t="s">
        <v>11</v>
      </c>
      <c r="G212" s="105" t="str">
        <f>IF(AND(E211="OUI",E212=0),"compléter la case"," ")</f>
        <v xml:space="preserve"> </v>
      </c>
      <c r="H212" s="20"/>
      <c r="I212" s="21"/>
      <c r="J212" s="21"/>
      <c r="K212" s="47"/>
      <c r="L212" s="23"/>
    </row>
    <row r="213" spans="2:12" ht="7.95" customHeight="1">
      <c r="B213" s="20"/>
      <c r="C213" s="61"/>
      <c r="D213" s="43"/>
      <c r="F213" s="23"/>
      <c r="G213" s="20"/>
      <c r="H213" s="20"/>
      <c r="I213" s="21"/>
      <c r="J213" s="21"/>
      <c r="K213" s="47"/>
      <c r="L213" s="23"/>
    </row>
    <row r="214" spans="2:12">
      <c r="B214" s="20"/>
      <c r="C214" s="61"/>
      <c r="D214" s="122"/>
      <c r="E214" s="150" t="s">
        <v>336</v>
      </c>
      <c r="F214" s="23"/>
      <c r="G214" s="105"/>
      <c r="H214" s="20"/>
      <c r="I214" s="21"/>
      <c r="J214" s="21"/>
      <c r="K214" s="47"/>
    </row>
    <row r="215" spans="2:12">
      <c r="B215" s="20"/>
      <c r="C215" s="61"/>
      <c r="D215" s="122"/>
      <c r="E215" s="150" t="s">
        <v>342</v>
      </c>
      <c r="F215" s="23"/>
      <c r="G215" s="105"/>
      <c r="H215" s="20"/>
      <c r="I215" s="21"/>
      <c r="J215" s="21"/>
      <c r="K215" s="47"/>
    </row>
    <row r="216" spans="2:12">
      <c r="B216" s="20"/>
      <c r="C216" s="61"/>
      <c r="D216" s="122"/>
      <c r="E216" s="149" t="s">
        <v>310</v>
      </c>
      <c r="F216" s="23"/>
      <c r="G216" s="105"/>
      <c r="H216" s="20"/>
      <c r="I216" s="21"/>
      <c r="J216" s="21"/>
      <c r="K216" s="47"/>
    </row>
    <row r="217" spans="2:12">
      <c r="B217" s="20"/>
      <c r="C217" s="61"/>
      <c r="D217" s="122"/>
      <c r="E217" s="150" t="s">
        <v>338</v>
      </c>
      <c r="F217" s="23"/>
      <c r="G217" s="105"/>
      <c r="H217" s="20"/>
      <c r="I217" s="21"/>
      <c r="J217" s="21"/>
      <c r="K217" s="47"/>
    </row>
    <row r="218" spans="2:12">
      <c r="B218" s="20"/>
      <c r="C218" s="61"/>
      <c r="D218" s="122"/>
      <c r="E218" s="150" t="s">
        <v>305</v>
      </c>
      <c r="F218" s="23"/>
      <c r="G218" s="105"/>
      <c r="H218" s="20"/>
      <c r="I218" s="21"/>
      <c r="J218" s="21"/>
      <c r="K218" s="47"/>
    </row>
    <row r="219" spans="2:12">
      <c r="B219" s="20"/>
      <c r="C219" s="61"/>
      <c r="D219" s="122"/>
      <c r="E219" s="150" t="s">
        <v>339</v>
      </c>
      <c r="F219" s="23"/>
      <c r="G219" s="105"/>
      <c r="H219" s="20"/>
      <c r="I219" s="21"/>
      <c r="J219" s="21"/>
      <c r="K219" s="47"/>
    </row>
    <row r="220" spans="2:12">
      <c r="B220" s="20"/>
      <c r="C220" s="61"/>
      <c r="D220" s="122"/>
      <c r="E220" s="150" t="s">
        <v>322</v>
      </c>
      <c r="F220" s="23"/>
      <c r="G220" s="105"/>
      <c r="H220" s="20"/>
      <c r="I220" s="21"/>
      <c r="J220" s="21"/>
      <c r="K220" s="47"/>
    </row>
    <row r="221" spans="2:12">
      <c r="B221" s="20"/>
      <c r="C221" s="61"/>
      <c r="D221" s="122"/>
      <c r="E221" s="149"/>
      <c r="F221" s="23"/>
      <c r="G221" s="105"/>
      <c r="H221" s="20"/>
      <c r="I221" s="21"/>
      <c r="J221" s="21"/>
      <c r="K221" s="47"/>
    </row>
    <row r="222" spans="2:12">
      <c r="B222" s="20"/>
      <c r="C222" s="61"/>
      <c r="D222" s="122"/>
      <c r="E222" s="149" t="s">
        <v>316</v>
      </c>
      <c r="F222" s="23"/>
      <c r="G222" s="105"/>
      <c r="H222" s="20"/>
      <c r="I222" s="21"/>
      <c r="J222" s="21"/>
      <c r="K222" s="47"/>
    </row>
    <row r="223" spans="2:12">
      <c r="B223" s="20"/>
      <c r="C223" s="61"/>
      <c r="D223" s="122"/>
      <c r="E223" s="150" t="s">
        <v>340</v>
      </c>
      <c r="F223" s="23"/>
      <c r="G223" s="105"/>
      <c r="H223" s="20"/>
      <c r="I223" s="21"/>
      <c r="J223" s="21"/>
      <c r="K223" s="47"/>
    </row>
    <row r="224" spans="2:12">
      <c r="B224" s="20"/>
      <c r="C224" s="61"/>
      <c r="D224" s="122"/>
      <c r="E224" s="150" t="s">
        <v>341</v>
      </c>
      <c r="F224" s="23"/>
      <c r="G224" s="105"/>
      <c r="H224" s="20"/>
      <c r="I224" s="21"/>
      <c r="J224" s="21"/>
      <c r="K224" s="47"/>
    </row>
    <row r="225" spans="2:12">
      <c r="B225" s="20"/>
      <c r="C225" s="61"/>
      <c r="D225" s="122"/>
      <c r="E225" s="152"/>
      <c r="F225" s="23"/>
      <c r="G225" s="105"/>
      <c r="H225" s="20"/>
      <c r="I225" s="21"/>
      <c r="J225" s="21"/>
      <c r="K225" s="47"/>
    </row>
    <row r="226" spans="2:12">
      <c r="B226" s="20"/>
      <c r="C226" s="61"/>
      <c r="D226" s="122"/>
      <c r="E226" s="153"/>
      <c r="F226" s="23"/>
      <c r="G226" s="105"/>
      <c r="H226" s="20"/>
      <c r="I226" s="21"/>
      <c r="J226" s="21"/>
      <c r="K226" s="47"/>
    </row>
    <row r="227" spans="2:12">
      <c r="B227" s="20"/>
      <c r="C227" s="61"/>
      <c r="D227" s="122"/>
      <c r="E227" s="153"/>
      <c r="F227" s="23"/>
      <c r="G227" s="105"/>
      <c r="H227" s="20"/>
      <c r="I227" s="21"/>
      <c r="J227" s="21"/>
      <c r="K227" s="47"/>
    </row>
    <row r="228" spans="2:12">
      <c r="B228" s="20"/>
      <c r="C228" s="61"/>
      <c r="D228" s="122"/>
      <c r="E228" s="154"/>
      <c r="F228" s="23"/>
      <c r="G228" s="105"/>
      <c r="H228" s="20"/>
      <c r="I228" s="21"/>
      <c r="J228" s="21"/>
      <c r="K228" s="47"/>
    </row>
    <row r="229" spans="2:12">
      <c r="B229" s="20"/>
      <c r="C229" s="61"/>
      <c r="D229" s="43" t="s">
        <v>39</v>
      </c>
      <c r="F229" s="23"/>
      <c r="G229" s="20"/>
      <c r="I229" s="21"/>
      <c r="J229" s="21"/>
      <c r="K229" s="47"/>
      <c r="L229" s="23"/>
    </row>
    <row r="230" spans="2:12">
      <c r="B230" s="20"/>
      <c r="C230" s="61"/>
      <c r="D230" s="73" t="s">
        <v>60</v>
      </c>
      <c r="E230" s="103" t="s">
        <v>28</v>
      </c>
      <c r="F230" s="23"/>
      <c r="G230" s="20"/>
      <c r="H230" s="20"/>
      <c r="I230" s="21"/>
      <c r="J230" s="21"/>
      <c r="K230" s="47"/>
      <c r="L230" s="23"/>
    </row>
    <row r="231" spans="2:12">
      <c r="B231" s="20"/>
      <c r="C231" s="61"/>
      <c r="D231" s="73" t="s">
        <v>75</v>
      </c>
      <c r="E231" s="104" t="s">
        <v>274</v>
      </c>
      <c r="F231" s="23"/>
      <c r="G231" s="105" t="str">
        <f>IF(AND(E230="OUI",E231="-"),"veuillez choisir une option"," ")</f>
        <v xml:space="preserve"> </v>
      </c>
      <c r="H231" s="20"/>
      <c r="I231" s="21"/>
      <c r="J231" s="21"/>
      <c r="K231" s="47"/>
      <c r="L231" s="23"/>
    </row>
    <row r="232" spans="2:12">
      <c r="B232" s="20"/>
      <c r="C232" s="61"/>
      <c r="D232" s="73" t="s">
        <v>59</v>
      </c>
      <c r="E232" s="107">
        <v>0</v>
      </c>
      <c r="F232" s="23" t="s">
        <v>11</v>
      </c>
      <c r="G232" s="105" t="str">
        <f>IF(AND(E230="OUI",E232=0),"compléter la case"," ")</f>
        <v xml:space="preserve"> </v>
      </c>
      <c r="H232" s="20"/>
      <c r="I232" s="21"/>
      <c r="J232" s="21"/>
      <c r="K232" s="47"/>
      <c r="L232" s="23"/>
    </row>
    <row r="233" spans="2:12" ht="7.95" customHeight="1">
      <c r="B233" s="20"/>
      <c r="C233" s="61"/>
      <c r="D233" s="43"/>
      <c r="F233" s="23"/>
      <c r="G233" s="20"/>
      <c r="H233" s="20"/>
      <c r="I233" s="21"/>
      <c r="J233" s="21"/>
      <c r="K233" s="47"/>
      <c r="L233" s="23"/>
    </row>
    <row r="234" spans="2:12">
      <c r="B234" s="20"/>
      <c r="C234" s="61"/>
      <c r="D234" s="122"/>
      <c r="E234" s="150" t="s">
        <v>345</v>
      </c>
      <c r="F234" s="23"/>
      <c r="G234" s="105"/>
      <c r="H234" s="20"/>
      <c r="I234" s="21"/>
      <c r="J234" s="21"/>
      <c r="K234" s="47"/>
    </row>
    <row r="235" spans="2:12">
      <c r="B235" s="20"/>
      <c r="C235" s="61"/>
      <c r="D235" s="122"/>
      <c r="E235" s="150" t="s">
        <v>346</v>
      </c>
      <c r="F235" s="23"/>
      <c r="G235" s="105"/>
      <c r="H235" s="20"/>
      <c r="I235" s="21"/>
      <c r="J235" s="21"/>
      <c r="K235" s="47"/>
    </row>
    <row r="236" spans="2:12">
      <c r="B236" s="20"/>
      <c r="C236" s="61"/>
      <c r="D236" s="122"/>
      <c r="E236" s="149" t="s">
        <v>310</v>
      </c>
      <c r="F236" s="23"/>
      <c r="G236" s="105"/>
      <c r="H236" s="20"/>
      <c r="I236" s="21"/>
      <c r="J236" s="21"/>
      <c r="K236" s="47"/>
    </row>
    <row r="237" spans="2:12">
      <c r="B237" s="20"/>
      <c r="C237" s="61"/>
      <c r="D237" s="122"/>
      <c r="E237" s="150" t="s">
        <v>305</v>
      </c>
      <c r="F237" s="23"/>
      <c r="G237" s="105"/>
      <c r="H237" s="20"/>
      <c r="I237" s="21"/>
      <c r="J237" s="21"/>
      <c r="K237" s="47"/>
    </row>
    <row r="238" spans="2:12">
      <c r="B238" s="20"/>
      <c r="C238" s="61"/>
      <c r="D238" s="122"/>
      <c r="E238" s="152"/>
      <c r="F238" s="23"/>
      <c r="G238" s="105"/>
      <c r="H238" s="20"/>
      <c r="I238" s="21"/>
      <c r="J238" s="21"/>
      <c r="K238" s="47"/>
    </row>
    <row r="239" spans="2:12">
      <c r="B239" s="20"/>
      <c r="C239" s="61"/>
      <c r="D239" s="122"/>
      <c r="E239" s="149" t="s">
        <v>316</v>
      </c>
      <c r="F239" s="23"/>
      <c r="G239" s="105"/>
      <c r="H239" s="20"/>
      <c r="I239" s="21"/>
      <c r="J239" s="21"/>
      <c r="K239" s="47"/>
    </row>
    <row r="240" spans="2:12">
      <c r="B240" s="20"/>
      <c r="C240" s="61"/>
      <c r="D240" s="122"/>
      <c r="E240" s="150" t="s">
        <v>343</v>
      </c>
      <c r="F240" s="23"/>
      <c r="G240" s="105"/>
      <c r="H240" s="20"/>
      <c r="I240" s="21"/>
      <c r="J240" s="21"/>
      <c r="K240" s="47"/>
    </row>
    <row r="241" spans="2:12">
      <c r="B241" s="20"/>
      <c r="C241" s="61"/>
      <c r="D241" s="122"/>
      <c r="E241" s="150" t="s">
        <v>344</v>
      </c>
      <c r="F241" s="23"/>
      <c r="G241" s="105"/>
      <c r="H241" s="20"/>
      <c r="I241" s="21"/>
      <c r="J241" s="21"/>
      <c r="K241" s="47"/>
    </row>
    <row r="242" spans="2:12">
      <c r="B242" s="20"/>
      <c r="C242" s="61"/>
      <c r="D242" s="122"/>
      <c r="E242" s="150" t="s">
        <v>332</v>
      </c>
      <c r="F242" s="23"/>
      <c r="G242" s="105"/>
      <c r="H242" s="20"/>
      <c r="I242" s="21"/>
      <c r="J242" s="21"/>
      <c r="K242" s="47"/>
    </row>
    <row r="243" spans="2:12">
      <c r="B243" s="20"/>
      <c r="C243" s="61"/>
      <c r="D243" s="122"/>
      <c r="E243" s="152"/>
      <c r="F243" s="23"/>
      <c r="G243" s="105"/>
      <c r="H243" s="20"/>
      <c r="I243" s="21"/>
      <c r="J243" s="21"/>
      <c r="K243" s="47"/>
    </row>
    <row r="244" spans="2:12">
      <c r="B244" s="20"/>
      <c r="C244" s="61"/>
      <c r="D244" s="122"/>
      <c r="E244" s="152"/>
      <c r="F244" s="23"/>
      <c r="G244" s="105"/>
      <c r="H244" s="20"/>
      <c r="I244" s="21"/>
      <c r="J244" s="21"/>
      <c r="K244" s="47"/>
    </row>
    <row r="245" spans="2:12">
      <c r="B245" s="20"/>
      <c r="C245" s="61"/>
      <c r="D245" s="122"/>
      <c r="E245" s="152"/>
      <c r="F245" s="23"/>
      <c r="G245" s="105"/>
      <c r="H245" s="20"/>
      <c r="I245" s="21"/>
      <c r="J245" s="21"/>
      <c r="K245" s="47"/>
    </row>
    <row r="246" spans="2:12">
      <c r="B246" s="20"/>
      <c r="C246" s="61"/>
      <c r="D246" s="122"/>
      <c r="E246" s="153"/>
      <c r="F246" s="23"/>
      <c r="G246" s="105"/>
      <c r="H246" s="20"/>
      <c r="I246" s="21"/>
      <c r="J246" s="21"/>
      <c r="K246" s="47"/>
    </row>
    <row r="247" spans="2:12">
      <c r="B247" s="20"/>
      <c r="C247" s="61"/>
      <c r="D247" s="122"/>
      <c r="E247" s="153"/>
      <c r="F247" s="23"/>
      <c r="G247" s="105"/>
      <c r="H247" s="20"/>
      <c r="I247" s="21"/>
      <c r="J247" s="21"/>
      <c r="K247" s="47"/>
    </row>
    <row r="248" spans="2:12">
      <c r="B248" s="20"/>
      <c r="C248" s="61"/>
      <c r="D248" s="122"/>
      <c r="E248" s="154"/>
      <c r="F248" s="23"/>
      <c r="G248" s="105"/>
      <c r="H248" s="20"/>
      <c r="I248" s="21"/>
      <c r="J248" s="21"/>
      <c r="K248" s="47"/>
    </row>
    <row r="249" spans="2:12" ht="7.95" customHeight="1">
      <c r="B249" s="20"/>
      <c r="C249" s="61"/>
      <c r="D249" s="43"/>
      <c r="F249" s="23"/>
      <c r="G249" s="20"/>
      <c r="H249" s="20"/>
      <c r="I249" s="21"/>
      <c r="J249" s="21"/>
      <c r="K249" s="47"/>
      <c r="L249" s="23"/>
    </row>
    <row r="250" spans="2:12">
      <c r="B250" s="20"/>
      <c r="C250" s="61"/>
      <c r="D250" s="43" t="s">
        <v>35</v>
      </c>
      <c r="G250" s="20"/>
      <c r="I250" s="21"/>
      <c r="J250" s="21"/>
      <c r="K250" s="47"/>
      <c r="L250" s="23"/>
    </row>
    <row r="251" spans="2:12">
      <c r="B251" s="20"/>
      <c r="C251" s="61"/>
      <c r="D251" s="73" t="s">
        <v>65</v>
      </c>
      <c r="E251" s="103" t="s">
        <v>28</v>
      </c>
      <c r="F251" s="23"/>
      <c r="G251" s="20"/>
      <c r="H251" s="20"/>
      <c r="I251" s="21"/>
      <c r="J251" s="21"/>
      <c r="K251" s="47"/>
      <c r="L251" s="23"/>
    </row>
    <row r="252" spans="2:12">
      <c r="B252" s="20"/>
      <c r="C252" s="61"/>
      <c r="D252" s="73" t="s">
        <v>66</v>
      </c>
      <c r="E252" s="104" t="s">
        <v>466</v>
      </c>
      <c r="F252" s="23"/>
      <c r="G252" s="105" t="str">
        <f>IF(AND(E251="OUI",E252="-"),"choisir une option"," ")</f>
        <v xml:space="preserve"> </v>
      </c>
      <c r="H252" s="20"/>
      <c r="I252" s="21"/>
      <c r="J252" s="21"/>
      <c r="K252" s="47"/>
      <c r="L252" s="23"/>
    </row>
    <row r="253" spans="2:12">
      <c r="B253" s="20"/>
      <c r="C253" s="61"/>
      <c r="D253" s="73" t="s">
        <v>126</v>
      </c>
      <c r="E253" s="109">
        <v>0</v>
      </c>
      <c r="F253" s="23"/>
      <c r="G253" s="105" t="str">
        <f>IF(AND(E251="OUI",E253=0),"compléter la case"," ")</f>
        <v xml:space="preserve"> </v>
      </c>
      <c r="H253" s="20"/>
      <c r="I253" s="21"/>
      <c r="J253" s="21"/>
      <c r="K253" s="47"/>
      <c r="L253" s="23"/>
    </row>
    <row r="254" spans="2:12">
      <c r="B254" s="20"/>
      <c r="C254" s="61"/>
      <c r="D254" s="73" t="s">
        <v>286</v>
      </c>
      <c r="E254" s="109">
        <v>0</v>
      </c>
      <c r="F254" s="23"/>
      <c r="G254" s="105" t="str">
        <f>IF(AND(E251="OUI",E254=0),"compléter la case"," ")</f>
        <v xml:space="preserve"> </v>
      </c>
      <c r="H254" s="20"/>
      <c r="I254" s="21"/>
      <c r="J254" s="21"/>
      <c r="K254" s="47"/>
      <c r="L254" s="23"/>
    </row>
    <row r="255" spans="2:12">
      <c r="B255" s="20"/>
      <c r="C255" s="61"/>
      <c r="D255" s="73" t="s">
        <v>285</v>
      </c>
      <c r="E255" s="109">
        <v>0</v>
      </c>
      <c r="F255" s="23"/>
      <c r="G255" s="105" t="str">
        <f>IF(AND(E252="OUI",E255=0),"compléter la case"," ")</f>
        <v xml:space="preserve"> </v>
      </c>
      <c r="H255" s="20"/>
      <c r="I255" s="21"/>
      <c r="J255" s="21"/>
      <c r="K255" s="47"/>
      <c r="L255" s="23"/>
    </row>
    <row r="256" spans="2:12">
      <c r="B256" s="20"/>
      <c r="C256" s="61"/>
      <c r="D256" s="73" t="s">
        <v>68</v>
      </c>
      <c r="E256" s="107">
        <v>0</v>
      </c>
      <c r="F256" s="23" t="s">
        <v>11</v>
      </c>
      <c r="G256" s="105" t="str">
        <f>IF(AND(E251="OUI",E256=0),"compléter la case"," ")</f>
        <v xml:space="preserve"> </v>
      </c>
      <c r="H256" s="20"/>
      <c r="I256" s="21"/>
      <c r="J256" s="21"/>
      <c r="K256" s="47"/>
      <c r="L256" s="23"/>
    </row>
    <row r="257" spans="2:12" ht="7.95" customHeight="1">
      <c r="B257" s="20"/>
      <c r="C257" s="61"/>
      <c r="D257" s="43"/>
      <c r="F257" s="23"/>
      <c r="G257" s="20"/>
      <c r="H257" s="20"/>
      <c r="I257" s="21"/>
      <c r="J257" s="21"/>
      <c r="K257" s="47"/>
      <c r="L257" s="23"/>
    </row>
    <row r="258" spans="2:12">
      <c r="B258" s="20"/>
      <c r="C258" s="61"/>
      <c r="D258" s="122"/>
      <c r="E258" s="149" t="s">
        <v>310</v>
      </c>
      <c r="F258" s="23"/>
      <c r="G258" s="105"/>
      <c r="H258" s="20"/>
      <c r="I258" s="21"/>
      <c r="J258" s="21"/>
      <c r="K258" s="47"/>
    </row>
    <row r="259" spans="2:12">
      <c r="B259" s="20"/>
      <c r="C259" s="61"/>
      <c r="D259" s="122"/>
      <c r="E259" s="150" t="s">
        <v>347</v>
      </c>
      <c r="F259" s="23"/>
      <c r="G259" s="105"/>
      <c r="H259" s="20"/>
      <c r="I259" s="21"/>
      <c r="J259" s="21"/>
      <c r="K259" s="47"/>
    </row>
    <row r="260" spans="2:12">
      <c r="B260" s="20"/>
      <c r="C260" s="61"/>
      <c r="D260" s="122"/>
      <c r="E260" s="150" t="s">
        <v>359</v>
      </c>
      <c r="F260" s="23"/>
      <c r="G260" s="105"/>
      <c r="H260" s="20"/>
      <c r="I260" s="21"/>
      <c r="J260" s="21"/>
      <c r="K260" s="47"/>
    </row>
    <row r="261" spans="2:12">
      <c r="B261" s="20"/>
      <c r="C261" s="61"/>
      <c r="D261" s="122"/>
      <c r="E261" s="150" t="s">
        <v>348</v>
      </c>
      <c r="F261" s="23"/>
      <c r="G261" s="105"/>
      <c r="H261" s="20"/>
      <c r="I261" s="21"/>
      <c r="J261" s="21"/>
      <c r="K261" s="47"/>
    </row>
    <row r="262" spans="2:12">
      <c r="B262" s="20"/>
      <c r="C262" s="61"/>
      <c r="D262" s="122"/>
      <c r="E262" s="150" t="s">
        <v>349</v>
      </c>
      <c r="F262" s="23"/>
      <c r="G262" s="105"/>
      <c r="H262" s="20"/>
      <c r="I262" s="21"/>
      <c r="J262" s="21"/>
      <c r="K262" s="47"/>
    </row>
    <row r="263" spans="2:12">
      <c r="B263" s="20"/>
      <c r="C263" s="61"/>
      <c r="D263" s="122"/>
      <c r="E263" s="150" t="s">
        <v>350</v>
      </c>
      <c r="F263" s="23"/>
      <c r="G263" s="105"/>
      <c r="H263" s="20"/>
      <c r="I263" s="21"/>
      <c r="J263" s="21"/>
      <c r="K263" s="47"/>
    </row>
    <row r="264" spans="2:12">
      <c r="B264" s="20"/>
      <c r="C264" s="61"/>
      <c r="D264" s="122"/>
      <c r="E264" s="150"/>
      <c r="F264" s="23"/>
      <c r="G264" s="105"/>
      <c r="H264" s="20"/>
      <c r="I264" s="21"/>
      <c r="J264" s="21"/>
      <c r="K264" s="47"/>
    </row>
    <row r="265" spans="2:12">
      <c r="B265" s="20"/>
      <c r="C265" s="61"/>
      <c r="D265" s="122"/>
      <c r="E265" s="149" t="s">
        <v>316</v>
      </c>
      <c r="F265" s="23"/>
      <c r="G265" s="105"/>
      <c r="H265" s="20"/>
      <c r="I265" s="21"/>
      <c r="J265" s="21"/>
      <c r="K265" s="47"/>
    </row>
    <row r="266" spans="2:12">
      <c r="B266" s="20"/>
      <c r="C266" s="61"/>
      <c r="D266" s="122"/>
      <c r="E266" s="150" t="s">
        <v>331</v>
      </c>
      <c r="F266" s="23"/>
      <c r="G266" s="105"/>
      <c r="H266" s="20"/>
      <c r="I266" s="21"/>
      <c r="J266" s="21"/>
      <c r="K266" s="47"/>
    </row>
    <row r="267" spans="2:12">
      <c r="B267" s="20"/>
      <c r="C267" s="61"/>
      <c r="D267" s="122"/>
      <c r="E267" s="150" t="s">
        <v>332</v>
      </c>
      <c r="F267" s="23"/>
      <c r="G267" s="105"/>
      <c r="H267" s="20"/>
      <c r="I267" s="21"/>
      <c r="J267" s="21"/>
      <c r="K267" s="47"/>
    </row>
    <row r="268" spans="2:12">
      <c r="B268" s="20"/>
      <c r="C268" s="61"/>
      <c r="D268" s="122"/>
      <c r="E268" s="150" t="s">
        <v>353</v>
      </c>
      <c r="F268" s="23"/>
      <c r="G268" s="105"/>
      <c r="H268" s="20"/>
      <c r="I268" s="21"/>
      <c r="J268" s="21"/>
      <c r="K268" s="47"/>
    </row>
    <row r="269" spans="2:12">
      <c r="B269" s="20"/>
      <c r="C269" s="61"/>
      <c r="D269" s="122"/>
      <c r="E269" s="150" t="s">
        <v>354</v>
      </c>
      <c r="F269" s="23"/>
      <c r="G269" s="105"/>
      <c r="H269" s="20"/>
      <c r="I269" s="21"/>
      <c r="J269" s="21"/>
      <c r="K269" s="47"/>
    </row>
    <row r="270" spans="2:12">
      <c r="B270" s="20"/>
      <c r="C270" s="61"/>
      <c r="D270" s="122"/>
      <c r="E270" s="151"/>
      <c r="F270" s="23"/>
      <c r="G270" s="105"/>
      <c r="H270" s="20"/>
      <c r="I270" s="21"/>
      <c r="J270" s="21"/>
      <c r="K270" s="47"/>
    </row>
    <row r="271" spans="2:12">
      <c r="B271" s="20"/>
      <c r="C271" s="61"/>
      <c r="D271" s="122"/>
      <c r="E271" s="153"/>
      <c r="F271" s="23"/>
      <c r="G271" s="105"/>
      <c r="H271" s="20"/>
      <c r="I271" s="21"/>
      <c r="J271" s="21"/>
      <c r="K271" s="47"/>
    </row>
    <row r="272" spans="2:12">
      <c r="B272" s="20"/>
      <c r="C272" s="61"/>
      <c r="D272" s="122"/>
      <c r="E272" s="154"/>
      <c r="F272" s="23"/>
      <c r="G272" s="105"/>
      <c r="H272" s="20"/>
      <c r="I272" s="21"/>
      <c r="J272" s="21"/>
      <c r="K272" s="47"/>
    </row>
    <row r="273" spans="2:12">
      <c r="B273" s="20"/>
      <c r="C273" s="61"/>
      <c r="D273" s="43" t="s">
        <v>36</v>
      </c>
      <c r="F273" s="23"/>
      <c r="G273" s="20"/>
      <c r="H273" s="20"/>
      <c r="I273" s="21"/>
      <c r="J273" s="21"/>
      <c r="K273" s="47"/>
      <c r="L273" s="23"/>
    </row>
    <row r="274" spans="2:12">
      <c r="B274" s="20"/>
      <c r="C274" s="61"/>
      <c r="D274" s="73" t="s">
        <v>65</v>
      </c>
      <c r="E274" s="103" t="s">
        <v>28</v>
      </c>
      <c r="F274" s="23"/>
      <c r="G274" s="20"/>
      <c r="H274" s="20"/>
      <c r="I274" s="21"/>
      <c r="J274" s="21"/>
      <c r="K274" s="47"/>
      <c r="L274" s="23"/>
    </row>
    <row r="275" spans="2:12" ht="7.95" customHeight="1">
      <c r="B275" s="20"/>
      <c r="C275" s="61"/>
      <c r="D275" s="43"/>
      <c r="F275" s="23"/>
      <c r="G275" s="20"/>
      <c r="H275" s="20"/>
      <c r="I275" s="21"/>
      <c r="J275" s="21"/>
      <c r="K275" s="47"/>
      <c r="L275" s="23"/>
    </row>
    <row r="276" spans="2:12">
      <c r="B276" s="20"/>
      <c r="C276" s="61"/>
      <c r="D276" s="122"/>
      <c r="E276" s="149" t="s">
        <v>310</v>
      </c>
      <c r="F276" s="23"/>
      <c r="G276" s="105"/>
      <c r="H276" s="20"/>
      <c r="I276" s="21"/>
      <c r="J276" s="21"/>
      <c r="K276" s="47"/>
    </row>
    <row r="277" spans="2:12">
      <c r="B277" s="20"/>
      <c r="C277" s="61"/>
      <c r="D277" s="122"/>
      <c r="E277" s="150" t="s">
        <v>355</v>
      </c>
      <c r="F277" s="23"/>
      <c r="G277" s="105"/>
      <c r="H277" s="20"/>
      <c r="I277" s="21"/>
      <c r="J277" s="21"/>
      <c r="K277" s="47"/>
    </row>
    <row r="278" spans="2:12">
      <c r="B278" s="20"/>
      <c r="C278" s="61"/>
      <c r="D278" s="122"/>
      <c r="E278" s="150" t="s">
        <v>358</v>
      </c>
      <c r="F278" s="23"/>
      <c r="G278" s="105"/>
      <c r="H278" s="20"/>
      <c r="I278" s="21"/>
      <c r="J278" s="21"/>
      <c r="K278" s="47"/>
    </row>
    <row r="279" spans="2:12">
      <c r="B279" s="20"/>
      <c r="C279" s="61"/>
      <c r="D279" s="122"/>
      <c r="E279" s="150" t="s">
        <v>349</v>
      </c>
      <c r="F279" s="23"/>
      <c r="G279" s="105"/>
      <c r="H279" s="20"/>
      <c r="I279" s="21"/>
      <c r="J279" s="21"/>
      <c r="K279" s="47"/>
    </row>
    <row r="280" spans="2:12">
      <c r="B280" s="20"/>
      <c r="C280" s="61"/>
      <c r="D280" s="122"/>
      <c r="E280" s="150" t="s">
        <v>350</v>
      </c>
      <c r="F280" s="23"/>
      <c r="G280" s="105"/>
      <c r="H280" s="20"/>
      <c r="I280" s="21"/>
      <c r="J280" s="21"/>
      <c r="K280" s="47"/>
    </row>
    <row r="281" spans="2:12">
      <c r="B281" s="20"/>
      <c r="C281" s="61"/>
      <c r="D281" s="122"/>
      <c r="E281" s="150"/>
      <c r="F281" s="23"/>
      <c r="G281" s="105"/>
      <c r="H281" s="20"/>
      <c r="I281" s="21"/>
      <c r="J281" s="21"/>
      <c r="K281" s="47"/>
    </row>
    <row r="282" spans="2:12">
      <c r="B282" s="20"/>
      <c r="C282" s="61"/>
      <c r="D282" s="122"/>
      <c r="E282" s="149" t="s">
        <v>316</v>
      </c>
      <c r="F282" s="23"/>
      <c r="G282" s="105"/>
      <c r="H282" s="20"/>
      <c r="I282" s="21"/>
      <c r="J282" s="21"/>
      <c r="K282" s="47"/>
    </row>
    <row r="283" spans="2:12">
      <c r="B283" s="20"/>
      <c r="C283" s="61"/>
      <c r="D283" s="122"/>
      <c r="E283" s="150" t="s">
        <v>331</v>
      </c>
      <c r="F283" s="23"/>
      <c r="G283" s="105"/>
      <c r="H283" s="20"/>
      <c r="I283" s="21"/>
      <c r="J283" s="21"/>
      <c r="K283" s="47"/>
    </row>
    <row r="284" spans="2:12">
      <c r="B284" s="20"/>
      <c r="C284" s="61"/>
      <c r="D284" s="122"/>
      <c r="E284" s="150" t="s">
        <v>332</v>
      </c>
      <c r="F284" s="23"/>
      <c r="G284" s="105"/>
      <c r="H284" s="20"/>
      <c r="I284" s="21"/>
      <c r="J284" s="21"/>
      <c r="K284" s="47"/>
    </row>
    <row r="285" spans="2:12">
      <c r="B285" s="20"/>
      <c r="C285" s="61"/>
      <c r="D285" s="122"/>
      <c r="E285" s="150" t="s">
        <v>354</v>
      </c>
      <c r="F285" s="23"/>
      <c r="G285" s="105"/>
      <c r="H285" s="20"/>
      <c r="I285" s="21"/>
      <c r="J285" s="21"/>
      <c r="K285" s="47"/>
    </row>
    <row r="286" spans="2:12">
      <c r="B286" s="20"/>
      <c r="C286" s="61"/>
      <c r="D286" s="122"/>
      <c r="E286" s="152"/>
      <c r="F286" s="23"/>
      <c r="G286" s="105"/>
      <c r="H286" s="20"/>
      <c r="I286" s="21"/>
      <c r="J286" s="21"/>
      <c r="K286" s="47"/>
    </row>
    <row r="287" spans="2:12">
      <c r="B287" s="20"/>
      <c r="C287" s="61"/>
      <c r="D287" s="122"/>
      <c r="E287" s="152"/>
      <c r="F287" s="23"/>
      <c r="G287" s="105"/>
      <c r="H287" s="20"/>
      <c r="I287" s="21"/>
      <c r="J287" s="21"/>
      <c r="K287" s="47"/>
    </row>
    <row r="288" spans="2:12">
      <c r="B288" s="20"/>
      <c r="C288" s="61"/>
      <c r="D288" s="122"/>
      <c r="E288" s="151"/>
      <c r="F288" s="23"/>
      <c r="G288" s="105"/>
      <c r="H288" s="20"/>
      <c r="I288" s="21"/>
      <c r="J288" s="21"/>
      <c r="K288" s="47"/>
    </row>
    <row r="289" spans="2:12">
      <c r="B289" s="20"/>
      <c r="C289" s="61"/>
      <c r="D289" s="122"/>
      <c r="E289" s="153"/>
      <c r="F289" s="23"/>
      <c r="G289" s="105"/>
      <c r="H289" s="20"/>
      <c r="I289" s="21"/>
      <c r="J289" s="21"/>
      <c r="K289" s="47"/>
    </row>
    <row r="290" spans="2:12">
      <c r="B290" s="20"/>
      <c r="C290" s="61"/>
      <c r="D290" s="122"/>
      <c r="E290" s="154"/>
      <c r="F290" s="23"/>
      <c r="G290" s="105"/>
      <c r="H290" s="20"/>
      <c r="I290" s="21"/>
      <c r="J290" s="21"/>
      <c r="K290" s="47"/>
    </row>
    <row r="291" spans="2:12">
      <c r="B291" s="20"/>
      <c r="C291" s="61"/>
      <c r="D291" s="43" t="s">
        <v>37</v>
      </c>
      <c r="G291" s="20"/>
      <c r="I291" s="21"/>
      <c r="J291" s="21"/>
      <c r="K291" s="47"/>
      <c r="L291" s="23"/>
    </row>
    <row r="292" spans="2:12">
      <c r="B292" s="20"/>
      <c r="C292" s="61"/>
      <c r="D292" s="73" t="s">
        <v>65</v>
      </c>
      <c r="E292" s="103" t="s">
        <v>28</v>
      </c>
      <c r="F292" s="23"/>
      <c r="G292" s="20"/>
      <c r="H292" s="20"/>
      <c r="I292" s="21"/>
      <c r="J292" s="21"/>
      <c r="K292" s="47"/>
      <c r="L292" s="23"/>
    </row>
    <row r="293" spans="2:12">
      <c r="B293" s="20"/>
      <c r="C293" s="61"/>
      <c r="D293" s="73" t="s">
        <v>66</v>
      </c>
      <c r="E293" s="104" t="s">
        <v>466</v>
      </c>
      <c r="F293" s="23"/>
      <c r="G293" s="105" t="str">
        <f>IF(AND(E292="OUI",E293="-"),"choisir une option"," ")</f>
        <v xml:space="preserve"> </v>
      </c>
      <c r="H293" s="20"/>
      <c r="I293" s="21"/>
      <c r="J293" s="21"/>
      <c r="K293" s="47"/>
      <c r="L293" s="23"/>
    </row>
    <row r="294" spans="2:12">
      <c r="B294" s="20"/>
      <c r="C294" s="61"/>
      <c r="D294" s="73" t="s">
        <v>67</v>
      </c>
      <c r="E294" s="109">
        <v>0</v>
      </c>
      <c r="F294" s="23"/>
      <c r="G294" s="105" t="str">
        <f>IF(AND(E292="OUI",E294=0),"compléter la case"," ")</f>
        <v xml:space="preserve"> </v>
      </c>
      <c r="H294" s="20"/>
      <c r="I294" s="21"/>
      <c r="J294" s="21"/>
      <c r="K294" s="47"/>
      <c r="L294" s="23"/>
    </row>
    <row r="295" spans="2:12" ht="7.95" customHeight="1">
      <c r="B295" s="20"/>
      <c r="C295" s="61"/>
      <c r="D295" s="43"/>
      <c r="F295" s="23"/>
      <c r="G295" s="20"/>
      <c r="H295" s="20"/>
      <c r="I295" s="21"/>
      <c r="J295" s="21"/>
      <c r="K295" s="47"/>
      <c r="L295" s="23"/>
    </row>
    <row r="296" spans="2:12">
      <c r="B296" s="20"/>
      <c r="C296" s="61"/>
      <c r="D296" s="122"/>
      <c r="E296" s="149" t="s">
        <v>310</v>
      </c>
      <c r="F296" s="23"/>
      <c r="G296" s="105"/>
      <c r="H296" s="20"/>
      <c r="I296" s="21"/>
      <c r="J296" s="21"/>
      <c r="K296" s="47"/>
    </row>
    <row r="297" spans="2:12">
      <c r="B297" s="20"/>
      <c r="C297" s="61"/>
      <c r="D297" s="122"/>
      <c r="E297" s="150" t="s">
        <v>356</v>
      </c>
      <c r="F297" s="23"/>
      <c r="G297" s="105"/>
      <c r="H297" s="20"/>
      <c r="I297" s="21"/>
      <c r="J297" s="21"/>
      <c r="K297" s="47"/>
    </row>
    <row r="298" spans="2:12">
      <c r="B298" s="20"/>
      <c r="C298" s="61"/>
      <c r="D298" s="122"/>
      <c r="E298" s="150" t="s">
        <v>360</v>
      </c>
      <c r="F298" s="23"/>
      <c r="G298" s="105"/>
      <c r="H298" s="20"/>
      <c r="I298" s="21"/>
      <c r="J298" s="21"/>
      <c r="K298" s="47"/>
    </row>
    <row r="299" spans="2:12">
      <c r="B299" s="20"/>
      <c r="C299" s="61"/>
      <c r="D299" s="122"/>
      <c r="E299" s="150" t="s">
        <v>349</v>
      </c>
      <c r="F299" s="23"/>
      <c r="G299" s="105"/>
      <c r="H299" s="20"/>
      <c r="I299" s="21"/>
      <c r="J299" s="21"/>
      <c r="K299" s="47"/>
    </row>
    <row r="300" spans="2:12">
      <c r="B300" s="20"/>
      <c r="C300" s="61"/>
      <c r="D300" s="122"/>
      <c r="E300" s="150" t="s">
        <v>350</v>
      </c>
      <c r="F300" s="23"/>
      <c r="G300" s="105"/>
      <c r="H300" s="20"/>
      <c r="I300" s="21"/>
      <c r="J300" s="21"/>
      <c r="K300" s="47"/>
    </row>
    <row r="301" spans="2:12">
      <c r="B301" s="20"/>
      <c r="C301" s="61"/>
      <c r="D301" s="122"/>
      <c r="E301" s="150"/>
      <c r="F301" s="23"/>
      <c r="G301" s="105"/>
      <c r="H301" s="20"/>
      <c r="I301" s="21"/>
      <c r="J301" s="21"/>
      <c r="K301" s="47"/>
    </row>
    <row r="302" spans="2:12">
      <c r="B302" s="20"/>
      <c r="C302" s="61"/>
      <c r="D302" s="122"/>
      <c r="E302" s="149" t="s">
        <v>316</v>
      </c>
      <c r="F302" s="23"/>
      <c r="G302" s="105"/>
      <c r="H302" s="20"/>
      <c r="I302" s="21"/>
      <c r="J302" s="21"/>
      <c r="K302" s="47"/>
    </row>
    <row r="303" spans="2:12">
      <c r="B303" s="20"/>
      <c r="C303" s="61"/>
      <c r="D303" s="122"/>
      <c r="E303" s="150" t="s">
        <v>331</v>
      </c>
      <c r="F303" s="23"/>
      <c r="G303" s="105"/>
      <c r="H303" s="20"/>
      <c r="I303" s="21"/>
      <c r="J303" s="21"/>
      <c r="K303" s="47"/>
    </row>
    <row r="304" spans="2:12">
      <c r="B304" s="20"/>
      <c r="C304" s="61"/>
      <c r="D304" s="122"/>
      <c r="E304" s="150" t="s">
        <v>332</v>
      </c>
      <c r="F304" s="23"/>
      <c r="G304" s="105"/>
      <c r="H304" s="20"/>
      <c r="I304" s="21"/>
      <c r="J304" s="21"/>
      <c r="K304" s="47"/>
    </row>
    <row r="305" spans="2:12">
      <c r="B305" s="20"/>
      <c r="C305" s="61"/>
      <c r="D305" s="122"/>
      <c r="E305" s="150" t="s">
        <v>344</v>
      </c>
      <c r="F305" s="23"/>
      <c r="G305" s="105"/>
      <c r="H305" s="20"/>
      <c r="I305" s="21"/>
      <c r="J305" s="21"/>
      <c r="K305" s="47"/>
    </row>
    <row r="306" spans="2:12">
      <c r="B306" s="20"/>
      <c r="C306" s="61"/>
      <c r="D306" s="122"/>
      <c r="E306" s="152"/>
      <c r="F306" s="23"/>
      <c r="G306" s="105"/>
      <c r="H306" s="20"/>
      <c r="I306" s="21"/>
      <c r="J306" s="21"/>
      <c r="K306" s="47"/>
    </row>
    <row r="307" spans="2:12">
      <c r="B307" s="20"/>
      <c r="C307" s="61"/>
      <c r="D307" s="122"/>
      <c r="E307" s="152"/>
      <c r="F307" s="23"/>
      <c r="G307" s="105"/>
      <c r="H307" s="20"/>
      <c r="I307" s="21"/>
      <c r="J307" s="21"/>
      <c r="K307" s="47"/>
    </row>
    <row r="308" spans="2:12">
      <c r="B308" s="20"/>
      <c r="C308" s="61"/>
      <c r="D308" s="122"/>
      <c r="E308" s="151"/>
      <c r="F308" s="23"/>
      <c r="G308" s="105"/>
      <c r="H308" s="20"/>
      <c r="I308" s="21"/>
      <c r="J308" s="21"/>
      <c r="K308" s="47"/>
    </row>
    <row r="309" spans="2:12">
      <c r="B309" s="20"/>
      <c r="C309" s="61"/>
      <c r="D309" s="122"/>
      <c r="E309" s="153"/>
      <c r="F309" s="23"/>
      <c r="G309" s="105"/>
      <c r="H309" s="20"/>
      <c r="I309" s="21"/>
      <c r="J309" s="21"/>
      <c r="K309" s="47"/>
    </row>
    <row r="310" spans="2:12">
      <c r="B310" s="20"/>
      <c r="C310" s="61"/>
      <c r="D310" s="122"/>
      <c r="E310" s="154"/>
      <c r="F310" s="23"/>
      <c r="G310" s="105"/>
      <c r="H310" s="20"/>
      <c r="I310" s="21"/>
      <c r="J310" s="21"/>
      <c r="K310" s="47"/>
    </row>
    <row r="311" spans="2:12">
      <c r="B311" s="20"/>
      <c r="C311" s="61"/>
      <c r="D311" s="43" t="s">
        <v>43</v>
      </c>
      <c r="G311" s="20"/>
      <c r="H311" s="20"/>
      <c r="I311" s="21"/>
      <c r="J311" s="21"/>
      <c r="K311" s="47"/>
      <c r="L311" s="23"/>
    </row>
    <row r="312" spans="2:12">
      <c r="B312" s="20"/>
      <c r="C312" s="61"/>
      <c r="D312" s="73" t="s">
        <v>65</v>
      </c>
      <c r="E312" s="103" t="s">
        <v>28</v>
      </c>
      <c r="F312" s="23"/>
      <c r="G312" s="20"/>
      <c r="H312" s="20"/>
      <c r="I312" s="21"/>
      <c r="J312" s="21"/>
      <c r="K312" s="47"/>
      <c r="L312" s="23"/>
    </row>
    <row r="313" spans="2:12">
      <c r="B313" s="20"/>
      <c r="C313" s="61"/>
      <c r="D313" s="73" t="s">
        <v>66</v>
      </c>
      <c r="E313" s="104" t="s">
        <v>466</v>
      </c>
      <c r="F313" s="23"/>
      <c r="G313" s="105" t="str">
        <f>IF(AND(E312="OUI",E313="-"),"choisir une option"," ")</f>
        <v xml:space="preserve"> </v>
      </c>
      <c r="H313" s="20"/>
      <c r="I313" s="21"/>
      <c r="J313" s="21"/>
      <c r="K313" s="47"/>
      <c r="L313" s="23"/>
    </row>
    <row r="314" spans="2:12">
      <c r="B314" s="20"/>
      <c r="C314" s="61"/>
      <c r="D314" s="73" t="s">
        <v>67</v>
      </c>
      <c r="E314" s="109">
        <v>0</v>
      </c>
      <c r="F314" s="23"/>
      <c r="G314" s="105" t="str">
        <f>IF(AND(E312="OUI",E314=0),"compléter la case"," ")</f>
        <v xml:space="preserve"> </v>
      </c>
      <c r="H314" s="20"/>
      <c r="I314" s="21"/>
      <c r="J314" s="21"/>
      <c r="K314" s="47"/>
      <c r="L314" s="23"/>
    </row>
    <row r="315" spans="2:12" ht="7.95" customHeight="1">
      <c r="B315" s="20"/>
      <c r="C315" s="61"/>
      <c r="D315" s="43"/>
      <c r="F315" s="23"/>
      <c r="G315" s="20"/>
      <c r="H315" s="20"/>
      <c r="I315" s="21"/>
      <c r="J315" s="21"/>
      <c r="K315" s="47"/>
      <c r="L315" s="23"/>
    </row>
    <row r="316" spans="2:12">
      <c r="B316" s="20"/>
      <c r="C316" s="61"/>
      <c r="D316" s="122"/>
      <c r="E316" s="149" t="s">
        <v>310</v>
      </c>
      <c r="F316" s="23"/>
      <c r="G316" s="105"/>
      <c r="H316" s="20"/>
      <c r="I316" s="21"/>
      <c r="J316" s="21"/>
      <c r="K316" s="47"/>
    </row>
    <row r="317" spans="2:12">
      <c r="B317" s="20"/>
      <c r="C317" s="61"/>
      <c r="D317" s="122"/>
      <c r="E317" s="150" t="s">
        <v>356</v>
      </c>
      <c r="F317" s="23"/>
      <c r="G317" s="105"/>
      <c r="H317" s="20"/>
      <c r="I317" s="21"/>
      <c r="J317" s="21"/>
      <c r="K317" s="47"/>
    </row>
    <row r="318" spans="2:12">
      <c r="B318" s="20"/>
      <c r="C318" s="61"/>
      <c r="D318" s="122"/>
      <c r="E318" s="150" t="s">
        <v>357</v>
      </c>
      <c r="F318" s="23"/>
      <c r="G318" s="105"/>
      <c r="H318" s="20"/>
      <c r="I318" s="21"/>
      <c r="J318" s="21"/>
      <c r="K318" s="47"/>
    </row>
    <row r="319" spans="2:12">
      <c r="B319" s="20"/>
      <c r="C319" s="61"/>
      <c r="D319" s="122"/>
      <c r="E319" s="150" t="s">
        <v>349</v>
      </c>
      <c r="F319" s="23"/>
      <c r="G319" s="105"/>
      <c r="H319" s="20"/>
      <c r="I319" s="21"/>
      <c r="J319" s="21"/>
      <c r="K319" s="47"/>
    </row>
    <row r="320" spans="2:12">
      <c r="B320" s="20"/>
      <c r="C320" s="61"/>
      <c r="D320" s="122"/>
      <c r="E320" s="150" t="s">
        <v>350</v>
      </c>
      <c r="F320" s="23"/>
      <c r="G320" s="105"/>
      <c r="H320" s="20"/>
      <c r="I320" s="21"/>
      <c r="J320" s="21"/>
      <c r="K320" s="47"/>
    </row>
    <row r="321" spans="2:12">
      <c r="B321" s="20"/>
      <c r="C321" s="61"/>
      <c r="D321" s="122"/>
      <c r="E321" s="150"/>
      <c r="F321" s="23"/>
      <c r="G321" s="105"/>
      <c r="H321" s="20"/>
      <c r="I321" s="21"/>
      <c r="J321" s="21"/>
      <c r="K321" s="47"/>
    </row>
    <row r="322" spans="2:12">
      <c r="B322" s="20"/>
      <c r="C322" s="61"/>
      <c r="D322" s="122"/>
      <c r="E322" s="149" t="s">
        <v>316</v>
      </c>
      <c r="F322" s="23"/>
      <c r="G322" s="105"/>
      <c r="H322" s="20"/>
      <c r="I322" s="21"/>
      <c r="J322" s="21"/>
      <c r="K322" s="47"/>
    </row>
    <row r="323" spans="2:12">
      <c r="B323" s="20"/>
      <c r="C323" s="61"/>
      <c r="D323" s="122"/>
      <c r="E323" s="150" t="s">
        <v>331</v>
      </c>
      <c r="F323" s="23"/>
      <c r="G323" s="105"/>
      <c r="H323" s="20"/>
      <c r="I323" s="21"/>
      <c r="J323" s="21"/>
      <c r="K323" s="47"/>
    </row>
    <row r="324" spans="2:12">
      <c r="B324" s="20"/>
      <c r="C324" s="61"/>
      <c r="D324" s="122"/>
      <c r="E324" s="150" t="s">
        <v>332</v>
      </c>
      <c r="F324" s="23"/>
      <c r="G324" s="105"/>
      <c r="H324" s="20"/>
      <c r="I324" s="21"/>
      <c r="J324" s="21"/>
      <c r="K324" s="47"/>
    </row>
    <row r="325" spans="2:12">
      <c r="B325" s="20"/>
      <c r="C325" s="61"/>
      <c r="D325" s="122"/>
      <c r="E325" s="150" t="s">
        <v>344</v>
      </c>
      <c r="F325" s="23"/>
      <c r="G325" s="105"/>
      <c r="H325" s="20"/>
      <c r="I325" s="21"/>
      <c r="J325" s="21"/>
      <c r="K325" s="47"/>
    </row>
    <row r="326" spans="2:12">
      <c r="B326" s="20"/>
      <c r="C326" s="61"/>
      <c r="D326" s="122"/>
      <c r="E326" s="152"/>
      <c r="F326" s="23"/>
      <c r="G326" s="105"/>
      <c r="H326" s="20"/>
      <c r="I326" s="21"/>
      <c r="J326" s="21"/>
      <c r="K326" s="47"/>
    </row>
    <row r="327" spans="2:12">
      <c r="B327" s="20"/>
      <c r="C327" s="61"/>
      <c r="D327" s="122"/>
      <c r="E327" s="152"/>
      <c r="F327" s="23"/>
      <c r="G327" s="105"/>
      <c r="H327" s="20"/>
      <c r="I327" s="21"/>
      <c r="J327" s="21"/>
      <c r="K327" s="47"/>
    </row>
    <row r="328" spans="2:12">
      <c r="B328" s="20"/>
      <c r="C328" s="61"/>
      <c r="D328" s="122"/>
      <c r="E328" s="151"/>
      <c r="F328" s="23"/>
      <c r="G328" s="105"/>
      <c r="H328" s="20"/>
      <c r="I328" s="21"/>
      <c r="J328" s="21"/>
      <c r="K328" s="47"/>
    </row>
    <row r="329" spans="2:12">
      <c r="B329" s="20"/>
      <c r="C329" s="61"/>
      <c r="D329" s="122"/>
      <c r="E329" s="153"/>
      <c r="F329" s="23"/>
      <c r="G329" s="105"/>
      <c r="H329" s="20"/>
      <c r="I329" s="21"/>
      <c r="J329" s="21"/>
      <c r="K329" s="47"/>
    </row>
    <row r="330" spans="2:12">
      <c r="B330" s="20"/>
      <c r="C330" s="61"/>
      <c r="D330" s="122"/>
      <c r="E330" s="154"/>
      <c r="F330" s="23"/>
      <c r="G330" s="105"/>
      <c r="H330" s="20"/>
      <c r="I330" s="21"/>
      <c r="J330" s="21"/>
      <c r="K330" s="47"/>
    </row>
    <row r="331" spans="2:12" ht="7.95" customHeight="1">
      <c r="B331" s="20"/>
      <c r="C331" s="61"/>
      <c r="D331" s="43"/>
      <c r="F331" s="23"/>
      <c r="G331" s="20"/>
      <c r="H331" s="20"/>
      <c r="I331" s="21"/>
      <c r="J331" s="21"/>
      <c r="K331" s="47"/>
      <c r="L331" s="23"/>
    </row>
    <row r="332" spans="2:12">
      <c r="B332" s="20"/>
      <c r="C332" s="61"/>
      <c r="D332" s="43" t="s">
        <v>40</v>
      </c>
      <c r="G332" s="20"/>
      <c r="H332" s="20"/>
      <c r="I332" s="21"/>
      <c r="J332" s="21"/>
      <c r="K332" s="47"/>
      <c r="L332" s="23"/>
    </row>
    <row r="333" spans="2:12">
      <c r="B333" s="20"/>
      <c r="C333" s="61"/>
      <c r="D333" s="73" t="s">
        <v>65</v>
      </c>
      <c r="E333" s="103" t="s">
        <v>28</v>
      </c>
      <c r="F333" s="23"/>
      <c r="G333" s="20"/>
      <c r="H333" s="20"/>
      <c r="I333" s="21"/>
      <c r="J333" s="21"/>
      <c r="K333" s="47"/>
      <c r="L333" s="23"/>
    </row>
    <row r="334" spans="2:12">
      <c r="B334" s="20"/>
      <c r="C334" s="61"/>
      <c r="D334" s="73" t="s">
        <v>69</v>
      </c>
      <c r="E334" s="104" t="s">
        <v>275</v>
      </c>
      <c r="F334" s="23"/>
      <c r="G334" s="105" t="str">
        <f>IF(AND(E333="OUI",E334="-"),"choisir une option"," ")</f>
        <v xml:space="preserve"> </v>
      </c>
      <c r="H334" s="20"/>
      <c r="I334" s="21"/>
      <c r="J334" s="21"/>
      <c r="K334" s="47"/>
      <c r="L334" s="23"/>
    </row>
    <row r="335" spans="2:12">
      <c r="B335" s="20"/>
      <c r="C335" s="61"/>
      <c r="D335" s="73" t="s">
        <v>117</v>
      </c>
      <c r="E335" s="110">
        <v>0</v>
      </c>
      <c r="F335" s="23"/>
      <c r="G335" s="105" t="str">
        <f>IF(AND(E333="OUI",E334="pompe à chaleur",E335=0),"compléter la case"," ")</f>
        <v xml:space="preserve"> </v>
      </c>
      <c r="H335" s="20"/>
      <c r="I335" s="21"/>
      <c r="J335" s="21"/>
      <c r="K335" s="47"/>
      <c r="L335" s="23"/>
    </row>
    <row r="336" spans="2:12" ht="7.95" customHeight="1">
      <c r="B336" s="20"/>
      <c r="C336" s="61"/>
      <c r="D336" s="43"/>
      <c r="F336" s="23"/>
      <c r="G336" s="20"/>
      <c r="H336" s="20"/>
      <c r="I336" s="21"/>
      <c r="J336" s="21"/>
      <c r="K336" s="47"/>
      <c r="L336" s="23"/>
    </row>
    <row r="337" spans="2:11">
      <c r="B337" s="20"/>
      <c r="C337" s="61"/>
      <c r="D337" s="122"/>
      <c r="E337" s="149" t="s">
        <v>365</v>
      </c>
      <c r="F337" s="23"/>
      <c r="G337" s="105"/>
      <c r="H337" s="20"/>
      <c r="I337" s="21"/>
      <c r="J337" s="21"/>
      <c r="K337" s="47"/>
    </row>
    <row r="338" spans="2:11">
      <c r="B338" s="20"/>
      <c r="C338" s="61"/>
      <c r="D338" s="122"/>
      <c r="E338" s="156" t="s">
        <v>310</v>
      </c>
      <c r="F338" s="23"/>
      <c r="G338" s="105"/>
      <c r="H338" s="20"/>
      <c r="I338" s="21"/>
      <c r="J338" s="21"/>
      <c r="K338" s="47"/>
    </row>
    <row r="339" spans="2:11">
      <c r="B339" s="20"/>
      <c r="C339" s="61"/>
      <c r="D339" s="122"/>
      <c r="E339" s="153" t="s">
        <v>361</v>
      </c>
      <c r="F339" s="23"/>
      <c r="G339" s="105"/>
      <c r="H339" s="20"/>
      <c r="I339" s="21"/>
      <c r="J339" s="21"/>
      <c r="K339" s="47"/>
    </row>
    <row r="340" spans="2:11">
      <c r="B340" s="20"/>
      <c r="C340" s="61"/>
      <c r="D340" s="122"/>
      <c r="E340" s="153" t="s">
        <v>362</v>
      </c>
      <c r="F340" s="23"/>
      <c r="G340" s="105"/>
      <c r="H340" s="20"/>
      <c r="I340" s="21"/>
      <c r="J340" s="21"/>
      <c r="K340" s="47"/>
    </row>
    <row r="341" spans="2:11">
      <c r="B341" s="20"/>
      <c r="C341" s="61"/>
      <c r="D341" s="122"/>
      <c r="E341" s="153" t="s">
        <v>363</v>
      </c>
      <c r="F341" s="23"/>
      <c r="G341" s="105"/>
      <c r="H341" s="20"/>
      <c r="I341" s="21"/>
      <c r="J341" s="21"/>
      <c r="K341" s="47"/>
    </row>
    <row r="342" spans="2:11">
      <c r="B342" s="20"/>
      <c r="C342" s="61"/>
      <c r="D342" s="122"/>
      <c r="E342" s="153" t="s">
        <v>364</v>
      </c>
      <c r="F342" s="23"/>
      <c r="G342" s="105"/>
      <c r="H342" s="20"/>
      <c r="I342" s="21"/>
      <c r="J342" s="21"/>
      <c r="K342" s="47"/>
    </row>
    <row r="343" spans="2:11">
      <c r="B343" s="20"/>
      <c r="C343" s="61"/>
      <c r="D343" s="122"/>
      <c r="E343" s="153" t="s">
        <v>366</v>
      </c>
      <c r="F343" s="23"/>
      <c r="G343" s="105"/>
      <c r="H343" s="20"/>
      <c r="I343" s="21"/>
      <c r="J343" s="21"/>
      <c r="K343" s="47"/>
    </row>
    <row r="344" spans="2:11">
      <c r="B344" s="20"/>
      <c r="C344" s="61"/>
      <c r="D344" s="122"/>
      <c r="E344" s="153" t="s">
        <v>367</v>
      </c>
      <c r="F344" s="23"/>
      <c r="G344" s="105"/>
      <c r="H344" s="20"/>
      <c r="I344" s="21"/>
      <c r="J344" s="21"/>
      <c r="K344" s="47"/>
    </row>
    <row r="345" spans="2:11">
      <c r="B345" s="20"/>
      <c r="C345" s="61"/>
      <c r="D345" s="122"/>
      <c r="E345" s="151"/>
      <c r="F345" s="23"/>
      <c r="G345" s="105"/>
      <c r="H345" s="20"/>
      <c r="I345" s="21"/>
      <c r="J345" s="21"/>
      <c r="K345" s="47"/>
    </row>
    <row r="346" spans="2:11">
      <c r="B346" s="20"/>
      <c r="C346" s="61"/>
      <c r="D346" s="122"/>
      <c r="E346" s="156" t="s">
        <v>316</v>
      </c>
      <c r="F346" s="23"/>
      <c r="G346" s="105"/>
      <c r="H346" s="20"/>
      <c r="I346" s="21"/>
      <c r="J346" s="21"/>
      <c r="K346" s="47"/>
    </row>
    <row r="347" spans="2:11">
      <c r="B347" s="20"/>
      <c r="C347" s="61"/>
      <c r="D347" s="122"/>
      <c r="E347" s="153" t="s">
        <v>368</v>
      </c>
      <c r="F347" s="23"/>
      <c r="G347" s="105"/>
      <c r="H347" s="20"/>
      <c r="I347" s="21"/>
      <c r="J347" s="21"/>
      <c r="K347" s="47"/>
    </row>
    <row r="348" spans="2:11">
      <c r="B348" s="20"/>
      <c r="C348" s="61"/>
      <c r="D348" s="122"/>
      <c r="E348" s="153" t="s">
        <v>370</v>
      </c>
      <c r="F348" s="23"/>
      <c r="G348" s="105"/>
      <c r="H348" s="20"/>
      <c r="I348" s="21"/>
      <c r="J348" s="21"/>
      <c r="K348" s="47"/>
    </row>
    <row r="349" spans="2:11">
      <c r="B349" s="20"/>
      <c r="C349" s="61"/>
      <c r="D349" s="122"/>
      <c r="E349" s="153" t="s">
        <v>369</v>
      </c>
      <c r="F349" s="23"/>
      <c r="G349" s="105"/>
      <c r="H349" s="20"/>
      <c r="I349" s="21"/>
      <c r="J349" s="21"/>
      <c r="K349" s="47"/>
    </row>
    <row r="350" spans="2:11">
      <c r="B350" s="20"/>
      <c r="C350" s="61"/>
      <c r="D350" s="122"/>
      <c r="E350" s="153" t="s">
        <v>371</v>
      </c>
      <c r="F350" s="23"/>
      <c r="G350" s="105"/>
      <c r="H350" s="20"/>
      <c r="I350" s="21"/>
      <c r="J350" s="21"/>
      <c r="K350" s="47"/>
    </row>
    <row r="351" spans="2:11">
      <c r="B351" s="20"/>
      <c r="C351" s="61"/>
      <c r="D351" s="122"/>
      <c r="E351" s="153"/>
      <c r="F351" s="23"/>
      <c r="G351" s="105"/>
      <c r="H351" s="20"/>
      <c r="I351" s="21"/>
      <c r="J351" s="21"/>
      <c r="K351" s="47"/>
    </row>
    <row r="352" spans="2:11">
      <c r="B352" s="20"/>
      <c r="C352" s="61"/>
      <c r="D352" s="122"/>
      <c r="E352" s="149" t="s">
        <v>372</v>
      </c>
      <c r="F352" s="23"/>
      <c r="G352" s="105"/>
      <c r="H352" s="20"/>
      <c r="I352" s="21"/>
      <c r="J352" s="21"/>
      <c r="K352" s="47"/>
    </row>
    <row r="353" spans="2:11">
      <c r="B353" s="20"/>
      <c r="C353" s="61"/>
      <c r="D353" s="122"/>
      <c r="E353" s="153" t="s">
        <v>373</v>
      </c>
      <c r="F353" s="23"/>
      <c r="G353" s="105"/>
      <c r="H353" s="20"/>
      <c r="I353" s="21"/>
      <c r="J353" s="21"/>
      <c r="K353" s="47"/>
    </row>
    <row r="354" spans="2:11">
      <c r="B354" s="20"/>
      <c r="C354" s="61"/>
      <c r="D354" s="122"/>
      <c r="E354" s="153" t="s">
        <v>374</v>
      </c>
      <c r="F354" s="23"/>
      <c r="G354" s="105"/>
      <c r="H354" s="20"/>
      <c r="I354" s="21"/>
      <c r="J354" s="21"/>
      <c r="K354" s="47"/>
    </row>
    <row r="355" spans="2:11">
      <c r="B355" s="20"/>
      <c r="C355" s="61"/>
      <c r="D355" s="122"/>
      <c r="E355" s="156" t="s">
        <v>310</v>
      </c>
      <c r="F355" s="23"/>
      <c r="G355" s="105"/>
      <c r="H355" s="20"/>
      <c r="I355" s="21"/>
      <c r="J355" s="21"/>
      <c r="K355" s="47"/>
    </row>
    <row r="356" spans="2:11">
      <c r="B356" s="20"/>
      <c r="C356" s="61"/>
      <c r="D356" s="122"/>
      <c r="E356" s="153" t="s">
        <v>361</v>
      </c>
      <c r="F356" s="23"/>
      <c r="G356" s="105"/>
      <c r="H356" s="20"/>
      <c r="I356" s="21"/>
      <c r="J356" s="21"/>
      <c r="K356" s="47"/>
    </row>
    <row r="357" spans="2:11">
      <c r="B357" s="20"/>
      <c r="C357" s="61"/>
      <c r="D357" s="122"/>
      <c r="E357" s="153" t="s">
        <v>375</v>
      </c>
      <c r="F357" s="23"/>
      <c r="G357" s="105"/>
      <c r="H357" s="20"/>
      <c r="I357" s="21"/>
      <c r="J357" s="21"/>
      <c r="K357" s="47"/>
    </row>
    <row r="358" spans="2:11">
      <c r="B358" s="20"/>
      <c r="C358" s="61"/>
      <c r="D358" s="122"/>
      <c r="E358" s="153" t="s">
        <v>376</v>
      </c>
      <c r="F358" s="23"/>
      <c r="G358" s="105"/>
      <c r="H358" s="20"/>
      <c r="I358" s="21"/>
      <c r="J358" s="21"/>
      <c r="K358" s="47"/>
    </row>
    <row r="359" spans="2:11">
      <c r="B359" s="20"/>
      <c r="C359" s="61"/>
      <c r="D359" s="122"/>
      <c r="E359" s="153" t="s">
        <v>378</v>
      </c>
      <c r="F359" s="23"/>
      <c r="G359" s="105"/>
      <c r="H359" s="20"/>
      <c r="I359" s="21"/>
      <c r="J359" s="21"/>
      <c r="K359" s="47"/>
    </row>
    <row r="360" spans="2:11">
      <c r="B360" s="20"/>
      <c r="C360" s="61"/>
      <c r="D360" s="122"/>
      <c r="E360" s="153" t="s">
        <v>377</v>
      </c>
      <c r="F360" s="23"/>
      <c r="G360" s="105"/>
      <c r="H360" s="20"/>
      <c r="I360" s="21"/>
      <c r="J360" s="21"/>
      <c r="K360" s="47"/>
    </row>
    <row r="361" spans="2:11">
      <c r="B361" s="20"/>
      <c r="C361" s="61"/>
      <c r="D361" s="122"/>
      <c r="E361" s="153" t="s">
        <v>363</v>
      </c>
      <c r="F361" s="23"/>
      <c r="G361" s="105"/>
      <c r="H361" s="20"/>
      <c r="I361" s="21"/>
      <c r="J361" s="21"/>
      <c r="K361" s="47"/>
    </row>
    <row r="362" spans="2:11">
      <c r="B362" s="20"/>
      <c r="C362" s="61"/>
      <c r="D362" s="122"/>
      <c r="E362" s="153" t="s">
        <v>366</v>
      </c>
      <c r="F362" s="23"/>
      <c r="G362" s="105"/>
      <c r="H362" s="20"/>
      <c r="I362" s="21"/>
      <c r="J362" s="21"/>
      <c r="K362" s="47"/>
    </row>
    <row r="363" spans="2:11">
      <c r="B363" s="20"/>
      <c r="C363" s="61"/>
      <c r="D363" s="122"/>
      <c r="E363" s="153" t="s">
        <v>367</v>
      </c>
      <c r="F363" s="23"/>
      <c r="G363" s="105"/>
      <c r="H363" s="20"/>
      <c r="I363" s="21"/>
      <c r="J363" s="21"/>
      <c r="K363" s="47"/>
    </row>
    <row r="364" spans="2:11">
      <c r="B364" s="20"/>
      <c r="C364" s="61"/>
      <c r="D364" s="122"/>
      <c r="E364" s="151"/>
      <c r="F364" s="23"/>
      <c r="G364" s="105"/>
      <c r="H364" s="20"/>
      <c r="I364" s="21"/>
      <c r="J364" s="21"/>
      <c r="K364" s="47"/>
    </row>
    <row r="365" spans="2:11">
      <c r="B365" s="20"/>
      <c r="C365" s="61"/>
      <c r="D365" s="122"/>
      <c r="E365" s="156" t="s">
        <v>316</v>
      </c>
      <c r="F365" s="23"/>
      <c r="G365" s="105"/>
      <c r="H365" s="20"/>
      <c r="I365" s="21"/>
      <c r="J365" s="21"/>
      <c r="K365" s="47"/>
    </row>
    <row r="366" spans="2:11">
      <c r="B366" s="20"/>
      <c r="C366" s="61"/>
      <c r="D366" s="122"/>
      <c r="E366" s="153" t="s">
        <v>368</v>
      </c>
      <c r="F366" s="23"/>
      <c r="G366" s="105"/>
      <c r="H366" s="20"/>
      <c r="I366" s="21"/>
      <c r="J366" s="21"/>
      <c r="K366" s="47"/>
    </row>
    <row r="367" spans="2:11">
      <c r="B367" s="20"/>
      <c r="C367" s="61"/>
      <c r="D367" s="122"/>
      <c r="E367" s="153" t="s">
        <v>370</v>
      </c>
      <c r="F367" s="23"/>
      <c r="G367" s="105"/>
      <c r="H367" s="20"/>
      <c r="I367" s="21"/>
      <c r="J367" s="21"/>
      <c r="K367" s="47"/>
    </row>
    <row r="368" spans="2:11">
      <c r="B368" s="20"/>
      <c r="C368" s="61"/>
      <c r="D368" s="122"/>
      <c r="E368" s="153" t="s">
        <v>371</v>
      </c>
      <c r="F368" s="23"/>
      <c r="G368" s="105"/>
      <c r="H368" s="20"/>
      <c r="I368" s="21"/>
      <c r="J368" s="21"/>
      <c r="K368" s="47"/>
    </row>
    <row r="369" spans="2:12">
      <c r="B369" s="20"/>
      <c r="C369" s="61"/>
      <c r="D369" s="122"/>
      <c r="E369" s="154"/>
      <c r="F369" s="23"/>
      <c r="G369" s="105"/>
      <c r="H369" s="20"/>
      <c r="I369" s="21"/>
      <c r="J369" s="21"/>
      <c r="K369" s="47"/>
    </row>
    <row r="370" spans="2:12">
      <c r="B370" s="20"/>
      <c r="C370" s="61"/>
      <c r="D370" s="43" t="s">
        <v>41</v>
      </c>
      <c r="G370" s="20"/>
      <c r="H370" s="20"/>
      <c r="I370" s="21"/>
      <c r="J370" s="21"/>
      <c r="K370" s="47"/>
      <c r="L370" s="23"/>
    </row>
    <row r="371" spans="2:12">
      <c r="B371" s="20"/>
      <c r="C371" s="61"/>
      <c r="D371" s="73" t="s">
        <v>119</v>
      </c>
      <c r="E371" s="103" t="s">
        <v>28</v>
      </c>
      <c r="F371" s="23"/>
      <c r="G371" s="20"/>
      <c r="H371" s="20"/>
      <c r="I371" s="21"/>
      <c r="J371" s="21"/>
      <c r="K371" s="47"/>
      <c r="L371" s="23"/>
    </row>
    <row r="372" spans="2:12">
      <c r="B372" s="20"/>
      <c r="C372" s="61"/>
      <c r="D372" s="73" t="s">
        <v>120</v>
      </c>
      <c r="E372" s="104" t="s">
        <v>276</v>
      </c>
      <c r="F372" s="23"/>
      <c r="G372" s="105" t="str">
        <f>IF(AND(E371="OUI",E372="-"),"choisir une option"," ")</f>
        <v xml:space="preserve"> </v>
      </c>
      <c r="H372" s="20"/>
      <c r="I372" s="21"/>
      <c r="J372" s="21"/>
      <c r="K372" s="47"/>
      <c r="L372" s="23"/>
    </row>
    <row r="373" spans="2:12">
      <c r="B373" s="20"/>
      <c r="C373" s="61"/>
      <c r="D373" s="158" t="s">
        <v>392</v>
      </c>
      <c r="E373" s="1"/>
      <c r="F373" s="23"/>
      <c r="G373" s="106"/>
      <c r="H373" s="20"/>
      <c r="I373" s="21"/>
      <c r="J373" s="21"/>
      <c r="K373" s="47"/>
    </row>
    <row r="374" spans="2:12">
      <c r="B374" s="20"/>
      <c r="C374" s="61"/>
      <c r="D374" s="159" t="s">
        <v>393</v>
      </c>
      <c r="E374" s="1"/>
      <c r="F374" s="23"/>
      <c r="G374" s="106"/>
      <c r="H374" s="20"/>
      <c r="I374" s="21"/>
      <c r="J374" s="21"/>
      <c r="K374" s="47"/>
    </row>
    <row r="375" spans="2:12">
      <c r="B375" s="20"/>
      <c r="C375" s="61"/>
      <c r="D375" s="73" t="s">
        <v>437</v>
      </c>
      <c r="E375" s="109">
        <v>0</v>
      </c>
      <c r="F375" s="23"/>
      <c r="G375" s="105" t="str">
        <f>IF(AND(E371="OUI",E372="C (simple flux)",E375=0),"compléter la case"," ")</f>
        <v xml:space="preserve"> </v>
      </c>
      <c r="H375" s="20"/>
      <c r="I375" s="21"/>
      <c r="J375" s="21"/>
      <c r="K375" s="47"/>
      <c r="L375" s="23"/>
    </row>
    <row r="376" spans="2:12" ht="7.95" customHeight="1">
      <c r="B376" s="20"/>
      <c r="C376" s="61"/>
      <c r="D376" s="43"/>
      <c r="F376" s="23"/>
      <c r="G376" s="20"/>
      <c r="H376" s="20"/>
      <c r="I376" s="21"/>
      <c r="J376" s="21"/>
      <c r="K376" s="47"/>
      <c r="L376" s="23"/>
    </row>
    <row r="377" spans="2:12">
      <c r="B377" s="20"/>
      <c r="C377" s="61"/>
      <c r="D377" s="122"/>
      <c r="E377" s="150" t="s">
        <v>394</v>
      </c>
      <c r="F377" s="23"/>
      <c r="G377" s="105"/>
      <c r="H377" s="20"/>
      <c r="I377" s="21"/>
      <c r="J377" s="21"/>
      <c r="K377" s="47"/>
    </row>
    <row r="378" spans="2:12">
      <c r="B378" s="20"/>
      <c r="C378" s="61"/>
      <c r="D378" s="122"/>
      <c r="E378" s="150" t="s">
        <v>396</v>
      </c>
      <c r="F378" s="23"/>
      <c r="G378" s="105"/>
      <c r="H378" s="20"/>
      <c r="I378" s="21"/>
      <c r="J378" s="21"/>
      <c r="K378" s="47"/>
    </row>
    <row r="379" spans="2:12">
      <c r="B379" s="20"/>
      <c r="C379" s="61"/>
      <c r="D379" s="122"/>
      <c r="E379" s="150" t="s">
        <v>395</v>
      </c>
      <c r="F379" s="23"/>
      <c r="G379" s="105"/>
      <c r="H379" s="20"/>
      <c r="I379" s="21"/>
      <c r="J379" s="21"/>
      <c r="K379" s="47"/>
    </row>
    <row r="380" spans="2:12">
      <c r="B380" s="20"/>
      <c r="C380" s="61"/>
      <c r="D380" s="122"/>
      <c r="E380" s="150" t="s">
        <v>452</v>
      </c>
      <c r="F380" s="23"/>
      <c r="G380" s="105"/>
      <c r="H380" s="20"/>
      <c r="I380" s="21"/>
      <c r="J380" s="21"/>
      <c r="K380" s="47"/>
    </row>
    <row r="381" spans="2:12">
      <c r="B381" s="20"/>
      <c r="C381" s="61"/>
      <c r="D381" s="122"/>
      <c r="E381" s="149" t="s">
        <v>310</v>
      </c>
      <c r="F381" s="23"/>
      <c r="G381" s="105"/>
      <c r="H381" s="20"/>
      <c r="I381" s="21"/>
      <c r="J381" s="21"/>
      <c r="K381" s="47"/>
    </row>
    <row r="382" spans="2:12">
      <c r="B382" s="20"/>
      <c r="C382" s="61"/>
      <c r="D382" s="122"/>
      <c r="E382" s="150" t="s">
        <v>379</v>
      </c>
      <c r="F382" s="23"/>
      <c r="G382" s="105"/>
      <c r="H382" s="20"/>
      <c r="I382" s="21"/>
      <c r="J382" s="21"/>
      <c r="K382" s="47"/>
    </row>
    <row r="383" spans="2:12">
      <c r="B383" s="20"/>
      <c r="C383" s="61"/>
      <c r="D383" s="122"/>
      <c r="E383" s="150" t="s">
        <v>380</v>
      </c>
      <c r="F383" s="23"/>
      <c r="G383" s="105"/>
      <c r="H383" s="20"/>
      <c r="I383" s="21"/>
      <c r="J383" s="21"/>
      <c r="K383" s="47"/>
    </row>
    <row r="384" spans="2:12">
      <c r="B384" s="20"/>
      <c r="C384" s="61"/>
      <c r="D384" s="122"/>
      <c r="E384" s="150" t="s">
        <v>387</v>
      </c>
      <c r="F384" s="23"/>
      <c r="G384" s="105"/>
      <c r="H384" s="20"/>
      <c r="I384" s="21"/>
      <c r="J384" s="21"/>
      <c r="K384" s="47"/>
    </row>
    <row r="385" spans="2:12">
      <c r="B385" s="20"/>
      <c r="C385" s="61"/>
      <c r="D385" s="122"/>
      <c r="E385" s="150" t="s">
        <v>381</v>
      </c>
      <c r="F385" s="23"/>
      <c r="G385" s="105"/>
      <c r="H385" s="20"/>
      <c r="I385" s="21"/>
      <c r="J385" s="21"/>
      <c r="K385" s="47"/>
    </row>
    <row r="386" spans="2:12">
      <c r="B386" s="20"/>
      <c r="C386" s="61"/>
      <c r="D386" s="122"/>
      <c r="E386" s="150" t="s">
        <v>382</v>
      </c>
      <c r="F386" s="23"/>
      <c r="G386" s="105"/>
      <c r="H386" s="20"/>
      <c r="I386" s="21"/>
      <c r="J386" s="21"/>
      <c r="K386" s="47"/>
    </row>
    <row r="387" spans="2:12">
      <c r="B387" s="20"/>
      <c r="C387" s="61"/>
      <c r="D387" s="122"/>
      <c r="E387" s="150" t="s">
        <v>383</v>
      </c>
      <c r="F387" s="23"/>
      <c r="G387" s="105"/>
      <c r="H387" s="20"/>
      <c r="I387" s="21"/>
      <c r="J387" s="21"/>
      <c r="K387" s="47"/>
    </row>
    <row r="388" spans="2:12">
      <c r="B388" s="20"/>
      <c r="C388" s="61"/>
      <c r="D388" s="122"/>
      <c r="E388" s="150" t="s">
        <v>384</v>
      </c>
      <c r="F388" s="23"/>
      <c r="G388" s="105"/>
      <c r="H388" s="20"/>
      <c r="I388" s="21"/>
      <c r="J388" s="21"/>
      <c r="K388" s="47"/>
    </row>
    <row r="389" spans="2:12">
      <c r="B389" s="20"/>
      <c r="C389" s="61"/>
      <c r="D389" s="122"/>
      <c r="E389" s="150" t="s">
        <v>385</v>
      </c>
      <c r="F389" s="23"/>
      <c r="G389" s="105"/>
      <c r="H389" s="20"/>
      <c r="I389" s="21"/>
      <c r="J389" s="21"/>
      <c r="K389" s="47"/>
    </row>
    <row r="390" spans="2:12">
      <c r="B390" s="20"/>
      <c r="C390" s="61"/>
      <c r="D390" s="122"/>
      <c r="E390" s="150" t="s">
        <v>314</v>
      </c>
      <c r="F390" s="23"/>
      <c r="G390" s="105"/>
      <c r="H390" s="20"/>
      <c r="I390" s="21"/>
      <c r="J390" s="21"/>
      <c r="K390" s="47"/>
    </row>
    <row r="391" spans="2:12">
      <c r="B391" s="20"/>
      <c r="C391" s="61"/>
      <c r="D391" s="122"/>
      <c r="E391" s="152"/>
      <c r="F391" s="23"/>
      <c r="G391" s="105"/>
      <c r="H391" s="20"/>
      <c r="I391" s="21"/>
      <c r="J391" s="21"/>
      <c r="K391" s="47"/>
    </row>
    <row r="392" spans="2:12">
      <c r="B392" s="20"/>
      <c r="C392" s="61"/>
      <c r="D392" s="122"/>
      <c r="E392" s="149" t="s">
        <v>316</v>
      </c>
      <c r="F392" s="23"/>
      <c r="G392" s="105"/>
      <c r="H392" s="20"/>
      <c r="I392" s="21"/>
      <c r="J392" s="21"/>
      <c r="K392" s="47"/>
    </row>
    <row r="393" spans="2:12">
      <c r="B393" s="20"/>
      <c r="C393" s="61"/>
      <c r="D393" s="122"/>
      <c r="E393" s="150" t="s">
        <v>386</v>
      </c>
      <c r="F393" s="23"/>
      <c r="G393" s="105"/>
      <c r="H393" s="20"/>
      <c r="I393" s="21"/>
      <c r="J393" s="21"/>
      <c r="K393" s="47"/>
    </row>
    <row r="394" spans="2:12">
      <c r="B394" s="20"/>
      <c r="C394" s="61"/>
      <c r="D394" s="122"/>
      <c r="E394" s="150" t="s">
        <v>388</v>
      </c>
      <c r="F394" s="23"/>
      <c r="G394" s="105"/>
      <c r="H394" s="20"/>
      <c r="I394" s="21"/>
      <c r="J394" s="21"/>
      <c r="K394" s="47"/>
    </row>
    <row r="395" spans="2:12">
      <c r="B395" s="20"/>
      <c r="C395" s="61"/>
      <c r="D395" s="122"/>
      <c r="E395" s="150" t="s">
        <v>389</v>
      </c>
      <c r="F395" s="23"/>
      <c r="G395" s="105"/>
      <c r="H395" s="20"/>
      <c r="I395" s="21"/>
      <c r="J395" s="21"/>
      <c r="K395" s="47"/>
    </row>
    <row r="396" spans="2:12">
      <c r="B396" s="20"/>
      <c r="C396" s="61"/>
      <c r="D396" s="122"/>
      <c r="E396" s="150" t="s">
        <v>390</v>
      </c>
      <c r="F396" s="23"/>
      <c r="G396" s="105"/>
      <c r="H396" s="20"/>
      <c r="I396" s="21"/>
      <c r="J396" s="21"/>
      <c r="K396" s="47"/>
    </row>
    <row r="397" spans="2:12">
      <c r="B397" s="20"/>
      <c r="C397" s="61"/>
      <c r="D397" s="122"/>
      <c r="E397" s="150" t="s">
        <v>391</v>
      </c>
      <c r="F397" s="23"/>
      <c r="G397" s="105"/>
      <c r="H397" s="20"/>
      <c r="I397" s="21"/>
      <c r="J397" s="21"/>
      <c r="K397" s="47"/>
    </row>
    <row r="398" spans="2:12">
      <c r="B398" s="20"/>
      <c r="C398" s="61"/>
      <c r="D398" s="122"/>
      <c r="E398" s="154"/>
      <c r="F398" s="23"/>
      <c r="G398" s="105"/>
      <c r="H398" s="20"/>
      <c r="I398" s="21"/>
      <c r="J398" s="21"/>
      <c r="K398" s="47"/>
    </row>
    <row r="399" spans="2:12">
      <c r="B399" s="20"/>
      <c r="C399" s="61"/>
      <c r="D399" s="43" t="s">
        <v>42</v>
      </c>
      <c r="G399" s="20"/>
      <c r="I399" s="21"/>
      <c r="J399" s="21"/>
      <c r="K399" s="47"/>
      <c r="L399" s="23"/>
    </row>
    <row r="400" spans="2:12">
      <c r="B400" s="20"/>
      <c r="C400" s="61"/>
      <c r="D400" s="73" t="s">
        <v>70</v>
      </c>
      <c r="E400" s="103" t="s">
        <v>28</v>
      </c>
      <c r="F400" s="23"/>
      <c r="G400" s="20"/>
      <c r="H400" s="20"/>
      <c r="I400" s="21"/>
      <c r="J400" s="21"/>
      <c r="K400" s="47"/>
      <c r="L400" s="23"/>
    </row>
    <row r="401" spans="2:12">
      <c r="B401" s="20"/>
      <c r="C401" s="61"/>
      <c r="D401" s="73" t="s">
        <v>272</v>
      </c>
      <c r="E401" s="109">
        <v>0</v>
      </c>
      <c r="F401" s="23"/>
      <c r="G401" s="105" t="str">
        <f>IF(AND(E400="OUI",E401="-"),"compléter la case"," ")</f>
        <v xml:space="preserve"> </v>
      </c>
      <c r="H401" s="20"/>
      <c r="I401" s="21"/>
      <c r="J401" s="21"/>
      <c r="K401" s="47"/>
      <c r="L401" s="23"/>
    </row>
    <row r="402" spans="2:12">
      <c r="B402" s="20"/>
      <c r="C402" s="61"/>
      <c r="D402" s="122" t="s">
        <v>297</v>
      </c>
      <c r="E402" s="1"/>
      <c r="F402" s="23"/>
      <c r="G402" s="106"/>
      <c r="H402" s="20"/>
      <c r="I402" s="21"/>
      <c r="J402" s="21"/>
      <c r="K402" s="47"/>
    </row>
    <row r="403" spans="2:12">
      <c r="B403" s="20"/>
      <c r="C403" s="61"/>
      <c r="D403" s="160" t="s">
        <v>277</v>
      </c>
      <c r="E403" s="102"/>
      <c r="F403" s="23"/>
      <c r="G403" s="20"/>
      <c r="H403" s="20"/>
      <c r="I403" s="21"/>
      <c r="J403" s="21"/>
      <c r="K403" s="47"/>
      <c r="L403" s="23"/>
    </row>
    <row r="404" spans="2:12" ht="7.95" customHeight="1">
      <c r="B404" s="20"/>
      <c r="C404" s="61"/>
      <c r="D404" s="43"/>
      <c r="F404" s="23"/>
      <c r="G404" s="20"/>
      <c r="H404" s="20"/>
      <c r="I404" s="21"/>
      <c r="J404" s="21"/>
      <c r="K404" s="47"/>
      <c r="L404" s="23"/>
    </row>
    <row r="405" spans="2:12">
      <c r="B405" s="20"/>
      <c r="C405" s="61"/>
      <c r="D405" s="122"/>
      <c r="E405" s="149" t="s">
        <v>310</v>
      </c>
      <c r="F405" s="23"/>
      <c r="G405" s="105"/>
      <c r="H405" s="20"/>
      <c r="I405" s="21"/>
      <c r="J405" s="21"/>
      <c r="K405" s="47"/>
    </row>
    <row r="406" spans="2:12">
      <c r="B406" s="20"/>
      <c r="C406" s="61"/>
      <c r="D406" s="122"/>
      <c r="E406" s="150" t="s">
        <v>397</v>
      </c>
      <c r="F406" s="23"/>
      <c r="G406" s="105"/>
      <c r="H406" s="20"/>
      <c r="I406" s="21"/>
      <c r="J406" s="21"/>
      <c r="K406" s="47"/>
    </row>
    <row r="407" spans="2:12">
      <c r="B407" s="20"/>
      <c r="C407" s="61"/>
      <c r="D407" s="122"/>
      <c r="E407" s="150" t="s">
        <v>398</v>
      </c>
      <c r="F407" s="23"/>
      <c r="G407" s="105"/>
      <c r="H407" s="20"/>
      <c r="I407" s="21"/>
      <c r="J407" s="21"/>
      <c r="K407" s="47"/>
    </row>
    <row r="408" spans="2:12">
      <c r="B408" s="20"/>
      <c r="C408" s="61"/>
      <c r="D408" s="122"/>
      <c r="E408" s="150" t="s">
        <v>399</v>
      </c>
      <c r="F408" s="23"/>
      <c r="G408" s="105"/>
      <c r="H408" s="20"/>
      <c r="I408" s="21"/>
      <c r="J408" s="21"/>
      <c r="K408" s="47"/>
    </row>
    <row r="409" spans="2:12">
      <c r="B409" s="20"/>
      <c r="C409" s="61"/>
      <c r="D409" s="122"/>
      <c r="E409" s="150"/>
      <c r="F409" s="23"/>
      <c r="G409" s="105"/>
      <c r="H409" s="20"/>
      <c r="I409" s="21"/>
      <c r="J409" s="21"/>
      <c r="K409" s="47"/>
    </row>
    <row r="410" spans="2:12">
      <c r="B410" s="20"/>
      <c r="C410" s="61"/>
      <c r="D410" s="122"/>
      <c r="E410" s="149" t="s">
        <v>316</v>
      </c>
      <c r="F410" s="23"/>
      <c r="G410" s="105"/>
      <c r="H410" s="20"/>
      <c r="I410" s="21"/>
      <c r="J410" s="21"/>
      <c r="K410" s="47"/>
    </row>
    <row r="411" spans="2:12">
      <c r="B411" s="20"/>
      <c r="C411" s="61"/>
      <c r="D411" s="122"/>
      <c r="E411" s="150" t="s">
        <v>400</v>
      </c>
      <c r="F411" s="23"/>
      <c r="G411" s="105"/>
      <c r="H411" s="20"/>
      <c r="I411" s="21"/>
      <c r="J411" s="21"/>
      <c r="K411" s="47"/>
    </row>
    <row r="412" spans="2:12">
      <c r="B412" s="20"/>
      <c r="C412" s="61"/>
      <c r="D412" s="122"/>
      <c r="E412" s="150" t="s">
        <v>401</v>
      </c>
      <c r="F412" s="23"/>
      <c r="G412" s="105"/>
      <c r="H412" s="20"/>
      <c r="I412" s="21"/>
      <c r="J412" s="21"/>
      <c r="K412" s="47"/>
    </row>
    <row r="413" spans="2:12">
      <c r="B413" s="20"/>
      <c r="C413" s="61"/>
      <c r="D413" s="122"/>
      <c r="E413" s="150" t="s">
        <v>402</v>
      </c>
      <c r="F413" s="23"/>
      <c r="G413" s="105"/>
      <c r="H413" s="20"/>
      <c r="I413" s="21"/>
      <c r="J413" s="21"/>
      <c r="K413" s="47"/>
    </row>
    <row r="414" spans="2:12">
      <c r="B414" s="20"/>
      <c r="C414" s="61"/>
      <c r="D414" s="122"/>
      <c r="E414" s="150"/>
      <c r="F414" s="23"/>
      <c r="G414" s="105"/>
      <c r="H414" s="20"/>
      <c r="I414" s="21"/>
      <c r="J414" s="21"/>
      <c r="K414" s="47"/>
    </row>
    <row r="415" spans="2:12">
      <c r="B415" s="20"/>
      <c r="C415" s="61"/>
      <c r="D415" s="122"/>
      <c r="E415" s="150"/>
      <c r="F415" s="23"/>
      <c r="G415" s="105"/>
      <c r="H415" s="20"/>
      <c r="I415" s="21"/>
      <c r="J415" s="21"/>
      <c r="K415" s="47"/>
    </row>
    <row r="416" spans="2:12">
      <c r="B416" s="20"/>
      <c r="C416" s="61"/>
      <c r="D416" s="122"/>
      <c r="E416" s="152"/>
      <c r="F416" s="23"/>
      <c r="G416" s="105"/>
      <c r="H416" s="20"/>
      <c r="I416" s="21"/>
      <c r="J416" s="21"/>
      <c r="K416" s="47"/>
    </row>
    <row r="417" spans="2:20">
      <c r="B417" s="20"/>
      <c r="C417" s="61"/>
      <c r="D417" s="122"/>
      <c r="E417" s="152"/>
      <c r="F417" s="23"/>
      <c r="G417" s="105"/>
      <c r="H417" s="20"/>
      <c r="I417" s="21"/>
      <c r="J417" s="21"/>
      <c r="K417" s="47"/>
    </row>
    <row r="418" spans="2:20">
      <c r="B418" s="20"/>
      <c r="C418" s="61"/>
      <c r="D418" s="122"/>
      <c r="E418" s="152"/>
      <c r="F418" s="23"/>
      <c r="G418" s="105"/>
      <c r="H418" s="20"/>
      <c r="I418" s="21"/>
      <c r="J418" s="21"/>
      <c r="K418" s="47"/>
    </row>
    <row r="419" spans="2:20">
      <c r="B419" s="20"/>
      <c r="C419" s="61"/>
      <c r="D419" s="122"/>
      <c r="E419" s="1"/>
      <c r="F419" s="23"/>
      <c r="G419" s="105"/>
      <c r="H419" s="20"/>
      <c r="I419" s="21"/>
      <c r="J419" s="21"/>
      <c r="K419" s="47"/>
    </row>
    <row r="421" spans="2:20" ht="14.4">
      <c r="D421" s="135" t="s">
        <v>405</v>
      </c>
      <c r="E421" s="80"/>
      <c r="F421" s="41"/>
      <c r="T421" s="3"/>
    </row>
    <row r="422" spans="2:20" ht="14.4">
      <c r="D422" s="136" t="s">
        <v>404</v>
      </c>
      <c r="E422" s="80"/>
      <c r="F422" s="41"/>
    </row>
    <row r="423" spans="2:20" ht="14.4">
      <c r="D423" s="136"/>
      <c r="E423" s="80"/>
      <c r="F423" s="41"/>
    </row>
  </sheetData>
  <sheetProtection algorithmName="SHA-512" hashValue="GaKQ/iLfXRAfmhJF5xHmlgAVBKFn7CjbkJGtnCsdmIiFFc8Bjo40ECgy0/basLH3HOlHsx7tmdnmt0S/jjAx/Q==" saltValue="ZjsRZkOwbXPOhu+XxfxY2w==" spinCount="100000" sheet="1" objects="1" scenarios="1" selectLockedCells="1"/>
  <conditionalFormatting sqref="E23:E25">
    <cfRule type="expression" dxfId="20" priority="21">
      <formula>$E$22="OUI"</formula>
    </cfRule>
  </conditionalFormatting>
  <conditionalFormatting sqref="E61:E62">
    <cfRule type="expression" dxfId="19" priority="1">
      <formula>AND($E$61="OUI",$E$62="OUI")</formula>
    </cfRule>
  </conditionalFormatting>
  <conditionalFormatting sqref="E63">
    <cfRule type="expression" dxfId="18" priority="2">
      <formula>$E$61="OUI"</formula>
    </cfRule>
  </conditionalFormatting>
  <conditionalFormatting sqref="E64">
    <cfRule type="expression" dxfId="17" priority="23">
      <formula>OR($E$61="OUI",$E$62="OUI")</formula>
    </cfRule>
  </conditionalFormatting>
  <conditionalFormatting sqref="E85">
    <cfRule type="expression" dxfId="16" priority="20">
      <formula>$E$84="OUI"</formula>
    </cfRule>
  </conditionalFormatting>
  <conditionalFormatting sqref="E104">
    <cfRule type="expression" dxfId="15" priority="19">
      <formula>$E$103="OUI"</formula>
    </cfRule>
  </conditionalFormatting>
  <conditionalFormatting sqref="E123:E124">
    <cfRule type="expression" dxfId="14" priority="11">
      <formula>AND($E$123="OUI",$E$124="OUI")</formula>
    </cfRule>
  </conditionalFormatting>
  <conditionalFormatting sqref="E125">
    <cfRule type="expression" dxfId="13" priority="18">
      <formula>OR($E$123="OUI",$E$124="OUI")</formula>
    </cfRule>
  </conditionalFormatting>
  <conditionalFormatting sqref="E154">
    <cfRule type="expression" dxfId="12" priority="17">
      <formula>$E$153="OUI"</formula>
    </cfRule>
  </conditionalFormatting>
  <conditionalFormatting sqref="E173">
    <cfRule type="expression" dxfId="11" priority="16">
      <formula>$E$172="OUI"</formula>
    </cfRule>
  </conditionalFormatting>
  <conditionalFormatting sqref="E192">
    <cfRule type="expression" dxfId="10" priority="15">
      <formula>$E$191="OUI"</formula>
    </cfRule>
  </conditionalFormatting>
  <conditionalFormatting sqref="E212">
    <cfRule type="expression" dxfId="9" priority="14">
      <formula>$E$211="OUI"</formula>
    </cfRule>
  </conditionalFormatting>
  <conditionalFormatting sqref="E231:E232">
    <cfRule type="expression" dxfId="8" priority="13">
      <formula>$E$230="OUI"</formula>
    </cfRule>
  </conditionalFormatting>
  <conditionalFormatting sqref="E252:E256">
    <cfRule type="expression" dxfId="7" priority="12">
      <formula>$E$251="OUI"</formula>
    </cfRule>
  </conditionalFormatting>
  <conditionalFormatting sqref="E293:E294">
    <cfRule type="expression" dxfId="6" priority="10">
      <formula>$E$292="OUI"</formula>
    </cfRule>
  </conditionalFormatting>
  <conditionalFormatting sqref="E313:E314">
    <cfRule type="expression" dxfId="5" priority="9">
      <formula>$E$312="OUI"</formula>
    </cfRule>
  </conditionalFormatting>
  <conditionalFormatting sqref="E334">
    <cfRule type="expression" dxfId="4" priority="8">
      <formula>$E$333="OUI"</formula>
    </cfRule>
  </conditionalFormatting>
  <conditionalFormatting sqref="E335">
    <cfRule type="expression" dxfId="3" priority="7">
      <formula>AND($E$333="OUI",$E$334="pompe à chaleur")</formula>
    </cfRule>
  </conditionalFormatting>
  <conditionalFormatting sqref="E372">
    <cfRule type="expression" dxfId="2" priority="6">
      <formula>$E$371="OUI"</formula>
    </cfRule>
  </conditionalFormatting>
  <conditionalFormatting sqref="E375">
    <cfRule type="expression" dxfId="1" priority="5">
      <formula>AND($E$371="OUI",$E$372="C (simple flux)")</formula>
    </cfRule>
  </conditionalFormatting>
  <conditionalFormatting sqref="E401">
    <cfRule type="expression" dxfId="0" priority="4">
      <formula>$E$400="OUI"</formula>
    </cfRule>
  </conditionalFormatting>
  <dataValidations count="7">
    <dataValidation type="list" allowBlank="1" showInputMessage="1" showErrorMessage="1" sqref="E123:E124 E15 E333 E371 E22 E251 E84 E103 E61:E63 E292 E274 E400 E153 E312 E191 E172 E211 E230 E51">
      <formula1>"OUI,NON"</formula1>
    </dataValidation>
    <dataValidation type="list" allowBlank="1" showInputMessage="1" showErrorMessage="1" promptTitle="sélectionner" sqref="E313 E252 E293">
      <formula1>"-,double vitrage ,triple vitrage"</formula1>
    </dataValidation>
    <dataValidation type="list" allowBlank="1" showInputMessage="1" showErrorMessage="1" promptTitle="sélectionner" sqref="E334">
      <formula1>"-,chaudière,pompe à chaleur"</formula1>
    </dataValidation>
    <dataValidation type="list" allowBlank="1" showInputMessage="1" showErrorMessage="1" promptTitle="sélectionner" sqref="E372">
      <formula1>"-,C (simple flux),D (double flux)"</formula1>
    </dataValidation>
    <dataValidation type="list" allowBlank="1" showInputMessage="1" showErrorMessage="1" promptTitle="sélectionner" sqref="E231">
      <formula1>"-,plancher béton,gîtage bois"</formula1>
    </dataValidation>
    <dataValidation type="list" allowBlank="1" showInputMessage="1" showErrorMessage="1" sqref="E53">
      <formula1>"Classe I,Classe II,Classe III"</formula1>
    </dataValidation>
    <dataValidation type="decimal" allowBlank="1" showInputMessage="1" showErrorMessage="1" sqref="E232 E17:E20 E104 E64:E65 E85 E125 E154 E173 E192 E212 E28:E31 E253:E256 E294 E314 E335 E401 E23:E26 E375">
      <formula1>0</formula1>
      <formula2>500</formula2>
    </dataValidation>
  </dataValidations>
  <hyperlinks>
    <hyperlink ref="D403" r:id="rId1"/>
    <hyperlink ref="D55" r:id="rId2"/>
    <hyperlink ref="D374" r:id="rId3"/>
    <hyperlink ref="D422" r:id="rId4"/>
  </hyperlinks>
  <pageMargins left="0.23622047244094488" right="0.23622047244094488" top="0.23622047244094488" bottom="0.23622047244094488" header="0.31496062992125984" footer="0.31496062992125984"/>
  <pageSetup paperSize="9" scale="75" fitToHeight="0" orientation="portrait" r:id="rId5"/>
  <rowBreaks count="5" manualBreakCount="5">
    <brk id="56" max="16383" man="1"/>
    <brk id="120" max="16383" man="1"/>
    <brk id="208" max="16383" man="1"/>
    <brk id="248" max="16383" man="1"/>
    <brk id="330" max="16383" man="1"/>
  </rowBreaks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2:Z199"/>
  <sheetViews>
    <sheetView showGridLines="0" view="pageBreakPreview" zoomScale="115" zoomScaleNormal="100" zoomScaleSheetLayoutView="115" workbookViewId="0">
      <selection activeCell="I17" sqref="I17"/>
    </sheetView>
  </sheetViews>
  <sheetFormatPr baseColWidth="10" defaultColWidth="11.44140625" defaultRowHeight="13.8"/>
  <cols>
    <col min="1" max="1" width="1.77734375" style="1" customWidth="1"/>
    <col min="2" max="2" width="5.44140625" style="1" customWidth="1"/>
    <col min="3" max="3" width="3.33203125" style="1" customWidth="1"/>
    <col min="4" max="4" width="49.109375" style="1" customWidth="1"/>
    <col min="5" max="5" width="7.88671875" style="1" customWidth="1"/>
    <col min="6" max="6" width="9.44140625" style="1" customWidth="1"/>
    <col min="7" max="7" width="7.6640625" style="1" customWidth="1"/>
    <col min="8" max="8" width="3.5546875" style="1" customWidth="1"/>
    <col min="9" max="9" width="10.44140625" style="1" customWidth="1"/>
    <col min="10" max="10" width="5.109375" style="1" customWidth="1"/>
    <col min="11" max="11" width="2.77734375" style="1" customWidth="1"/>
    <col min="12" max="12" width="12.33203125" style="1" customWidth="1"/>
    <col min="13" max="13" width="5.77734375" style="1" customWidth="1"/>
    <col min="14" max="14" width="4.109375" style="1" customWidth="1"/>
    <col min="15" max="15" width="18.44140625" style="1" customWidth="1"/>
    <col min="16" max="16" width="12.44140625" style="1" bestFit="1" customWidth="1"/>
    <col min="17" max="17" width="11.44140625" style="1"/>
    <col min="18" max="22" width="14.109375" style="1" customWidth="1"/>
    <col min="23" max="16384" width="11.44140625" style="1"/>
  </cols>
  <sheetData>
    <row r="2" spans="2:13" ht="14.4" thickBot="1"/>
    <row r="3" spans="2:13">
      <c r="B3" s="4"/>
      <c r="C3" s="5"/>
      <c r="D3" s="45" t="s">
        <v>407</v>
      </c>
      <c r="E3" s="76"/>
      <c r="F3" s="6"/>
      <c r="G3" s="7"/>
      <c r="H3" s="7"/>
      <c r="I3" s="7"/>
      <c r="J3" s="71"/>
      <c r="K3" s="7"/>
      <c r="L3" s="133"/>
      <c r="M3" s="70"/>
    </row>
    <row r="4" spans="2:13" ht="14.4">
      <c r="B4" s="8"/>
      <c r="C4" s="125"/>
      <c r="D4" s="1" t="s">
        <v>266</v>
      </c>
      <c r="E4" s="124" t="s">
        <v>318</v>
      </c>
      <c r="F4" s="126"/>
      <c r="G4" s="127"/>
      <c r="I4" s="128"/>
      <c r="J4" s="128"/>
      <c r="K4" s="128"/>
      <c r="M4" s="9"/>
    </row>
    <row r="5" spans="2:13" ht="7.5" customHeight="1">
      <c r="B5" s="8"/>
      <c r="C5" s="125"/>
      <c r="E5" s="124" t="s">
        <v>318</v>
      </c>
      <c r="G5" s="127"/>
      <c r="H5" s="129"/>
      <c r="I5" s="128"/>
      <c r="J5" s="128"/>
      <c r="K5" s="128"/>
      <c r="M5" s="9"/>
    </row>
    <row r="6" spans="2:13" ht="14.4">
      <c r="B6" s="8"/>
      <c r="C6" s="125"/>
      <c r="D6" s="129"/>
      <c r="E6" s="124" t="s">
        <v>318</v>
      </c>
      <c r="F6" s="130"/>
      <c r="G6" s="127"/>
      <c r="H6" s="129"/>
      <c r="I6" s="128"/>
      <c r="J6" s="128"/>
      <c r="K6" s="128"/>
      <c r="M6" s="9"/>
    </row>
    <row r="7" spans="2:13" ht="14.4">
      <c r="B7" s="8"/>
      <c r="C7" s="125"/>
      <c r="D7" s="129"/>
      <c r="E7" s="124" t="s">
        <v>318</v>
      </c>
      <c r="F7" s="131"/>
      <c r="G7" s="127"/>
      <c r="H7" s="129"/>
      <c r="I7" s="128"/>
      <c r="J7" s="128"/>
      <c r="K7" s="128"/>
      <c r="M7" s="9"/>
    </row>
    <row r="8" spans="2:13" ht="6" customHeight="1" thickBot="1">
      <c r="B8" s="10"/>
      <c r="C8" s="11"/>
      <c r="D8" s="11"/>
      <c r="E8" s="132" t="s">
        <v>318</v>
      </c>
      <c r="F8" s="11"/>
      <c r="G8" s="11"/>
      <c r="H8" s="11"/>
      <c r="I8" s="12"/>
      <c r="J8" s="12"/>
      <c r="K8" s="12"/>
      <c r="L8" s="134"/>
      <c r="M8" s="13"/>
    </row>
    <row r="9" spans="2:13" ht="14.4" thickBot="1"/>
    <row r="10" spans="2:13" ht="16.2" thickBot="1">
      <c r="B10" s="14"/>
      <c r="C10" s="15"/>
      <c r="D10" s="16" t="s">
        <v>9</v>
      </c>
      <c r="E10" s="16"/>
      <c r="F10" s="16"/>
      <c r="G10" s="16"/>
      <c r="H10" s="15"/>
      <c r="I10" s="15"/>
      <c r="J10" s="15"/>
      <c r="K10" s="15"/>
      <c r="L10" s="15"/>
      <c r="M10" s="17"/>
    </row>
    <row r="12" spans="2:13">
      <c r="B12" s="34">
        <v>1</v>
      </c>
      <c r="C12" s="18"/>
      <c r="D12" s="18" t="s">
        <v>403</v>
      </c>
      <c r="E12" s="18"/>
      <c r="F12" s="18"/>
      <c r="G12" s="18"/>
      <c r="H12" s="18"/>
      <c r="I12" s="18"/>
      <c r="J12" s="19"/>
      <c r="K12" s="36"/>
      <c r="L12" s="55"/>
      <c r="M12" s="54"/>
    </row>
    <row r="13" spans="2:13">
      <c r="B13" s="20"/>
      <c r="C13" s="20"/>
      <c r="D13" s="20"/>
      <c r="E13" s="20"/>
      <c r="F13" s="20"/>
      <c r="G13" s="20"/>
      <c r="H13" s="20"/>
      <c r="I13" s="20"/>
      <c r="J13" s="21"/>
      <c r="K13" s="21"/>
      <c r="L13" s="21"/>
    </row>
    <row r="14" spans="2:13">
      <c r="B14" s="20"/>
      <c r="C14" s="61" t="s">
        <v>136</v>
      </c>
      <c r="D14" s="43" t="s">
        <v>45</v>
      </c>
      <c r="E14" s="20"/>
      <c r="F14" s="20"/>
      <c r="G14" s="20"/>
      <c r="H14" s="20"/>
      <c r="I14" s="20"/>
      <c r="J14" s="21"/>
      <c r="K14" s="21"/>
      <c r="L14" s="21"/>
    </row>
    <row r="15" spans="2:13" ht="14.4">
      <c r="C15" s="60" t="s">
        <v>137</v>
      </c>
      <c r="D15" s="42" t="s">
        <v>46</v>
      </c>
      <c r="E15" s="73"/>
      <c r="F15" s="74">
        <v>0.04</v>
      </c>
      <c r="G15" s="23"/>
      <c r="H15" s="23" t="s">
        <v>7</v>
      </c>
      <c r="I15" s="24">
        <f>SUM(L20:L158)</f>
        <v>0</v>
      </c>
      <c r="J15" s="23" t="s">
        <v>4</v>
      </c>
      <c r="K15" s="1" t="s">
        <v>8</v>
      </c>
      <c r="L15" s="47">
        <f>I15*F15</f>
        <v>0</v>
      </c>
      <c r="M15" s="23" t="s">
        <v>4</v>
      </c>
    </row>
    <row r="16" spans="2:13" ht="14.4">
      <c r="C16" s="60" t="s">
        <v>138</v>
      </c>
      <c r="D16" s="42" t="s">
        <v>44</v>
      </c>
      <c r="E16" s="73"/>
      <c r="F16" s="22">
        <v>1</v>
      </c>
      <c r="G16" s="23" t="s">
        <v>0</v>
      </c>
      <c r="H16" s="23" t="s">
        <v>7</v>
      </c>
      <c r="I16" s="24">
        <v>840</v>
      </c>
      <c r="J16" s="23" t="s">
        <v>4</v>
      </c>
      <c r="K16" s="1" t="s">
        <v>8</v>
      </c>
      <c r="L16" s="47">
        <f>I16*F16</f>
        <v>840</v>
      </c>
      <c r="M16" s="23" t="s">
        <v>4</v>
      </c>
    </row>
    <row r="17" spans="3:15" ht="14.4">
      <c r="C17" s="60" t="s">
        <v>139</v>
      </c>
      <c r="D17" s="42" t="s">
        <v>13</v>
      </c>
      <c r="E17" s="73"/>
      <c r="F17" s="22">
        <v>1</v>
      </c>
      <c r="G17" s="23" t="s">
        <v>0</v>
      </c>
      <c r="H17" s="23" t="s">
        <v>7</v>
      </c>
      <c r="I17" s="24">
        <f>50%*SUM(L20:L22)+20%*SUM(L23:L43)</f>
        <v>0</v>
      </c>
      <c r="J17" s="23" t="s">
        <v>4</v>
      </c>
      <c r="K17" s="1" t="s">
        <v>8</v>
      </c>
      <c r="L17" s="47">
        <f>I17*F17</f>
        <v>0</v>
      </c>
      <c r="M17" s="23" t="s">
        <v>4</v>
      </c>
    </row>
    <row r="18" spans="3:15" ht="14.4">
      <c r="C18" s="60"/>
      <c r="D18" s="73"/>
      <c r="E18" s="73"/>
      <c r="F18" s="74"/>
      <c r="G18" s="23"/>
      <c r="J18" s="30"/>
      <c r="K18" s="30"/>
      <c r="L18" s="47"/>
      <c r="M18" s="23"/>
    </row>
    <row r="19" spans="3:15" ht="14.4">
      <c r="C19" s="65" t="s">
        <v>140</v>
      </c>
      <c r="D19" s="43" t="s">
        <v>15</v>
      </c>
      <c r="E19" s="43"/>
      <c r="F19"/>
      <c r="G19"/>
      <c r="H19"/>
      <c r="I19"/>
      <c r="L19" s="46"/>
    </row>
    <row r="20" spans="3:15" ht="14.4">
      <c r="C20" s="60" t="s">
        <v>141</v>
      </c>
      <c r="D20" s="42" t="s">
        <v>47</v>
      </c>
      <c r="E20" s="42"/>
      <c r="F20" s="44">
        <f>IF('ENCODAGE DE MON PROJET'!E211="NON", 0, 'ENCODAGE DE MON PROJET'!E212)</f>
        <v>0</v>
      </c>
      <c r="G20" s="23" t="s">
        <v>11</v>
      </c>
      <c r="H20" s="23" t="s">
        <v>7</v>
      </c>
      <c r="I20" s="24">
        <v>48</v>
      </c>
      <c r="J20" s="23" t="s">
        <v>4</v>
      </c>
      <c r="K20" s="1" t="s">
        <v>8</v>
      </c>
      <c r="L20" s="47">
        <f>I20*F20</f>
        <v>0</v>
      </c>
      <c r="M20" s="23" t="s">
        <v>4</v>
      </c>
      <c r="O20" s="23"/>
    </row>
    <row r="21" spans="3:15" ht="14.4">
      <c r="C21" s="60" t="s">
        <v>142</v>
      </c>
      <c r="D21" s="42" t="s">
        <v>125</v>
      </c>
      <c r="E21" s="42"/>
      <c r="F21" s="44">
        <f>IF('ENCODAGE DE MON PROJET'!E61="NON", 0, 'ENCODAGE DE MON PROJET'!E64)</f>
        <v>0</v>
      </c>
      <c r="G21" s="23" t="s">
        <v>23</v>
      </c>
      <c r="H21" s="23" t="s">
        <v>7</v>
      </c>
      <c r="I21" s="24">
        <v>38</v>
      </c>
      <c r="J21" s="23" t="s">
        <v>4</v>
      </c>
      <c r="K21" s="1" t="s">
        <v>8</v>
      </c>
      <c r="L21" s="47">
        <f>I21*F21</f>
        <v>0</v>
      </c>
      <c r="M21" s="23" t="s">
        <v>4</v>
      </c>
      <c r="O21" s="23"/>
    </row>
    <row r="22" spans="3:15" ht="14.4">
      <c r="C22" s="60" t="s">
        <v>143</v>
      </c>
      <c r="D22" s="42" t="s">
        <v>283</v>
      </c>
      <c r="E22" s="42"/>
      <c r="F22" s="44">
        <f>IF('ENCODAGE DE MON PROJET'!E62="NON", 0, 'ENCODAGE DE MON PROJET'!E64)</f>
        <v>0</v>
      </c>
      <c r="G22" s="23" t="s">
        <v>23</v>
      </c>
      <c r="H22" s="23" t="s">
        <v>7</v>
      </c>
      <c r="I22" s="24">
        <v>28</v>
      </c>
      <c r="J22" s="23" t="s">
        <v>4</v>
      </c>
      <c r="K22" s="1" t="s">
        <v>8</v>
      </c>
      <c r="L22" s="47">
        <f>I22*F22</f>
        <v>0</v>
      </c>
      <c r="M22" s="23" t="s">
        <v>4</v>
      </c>
      <c r="O22" s="23"/>
    </row>
    <row r="23" spans="3:15" ht="14.4">
      <c r="C23" s="60" t="s">
        <v>144</v>
      </c>
      <c r="D23" s="42" t="s">
        <v>56</v>
      </c>
      <c r="E23" s="42"/>
      <c r="F23" s="44">
        <f>SUM(E24:E25)</f>
        <v>0</v>
      </c>
      <c r="G23" s="23" t="s">
        <v>11</v>
      </c>
      <c r="H23" s="23" t="s">
        <v>7</v>
      </c>
      <c r="I23" s="24">
        <v>37</v>
      </c>
      <c r="J23" s="23" t="s">
        <v>4</v>
      </c>
      <c r="K23" s="1" t="s">
        <v>8</v>
      </c>
      <c r="L23" s="47">
        <f>I23*F23</f>
        <v>0</v>
      </c>
      <c r="M23" s="23" t="s">
        <v>4</v>
      </c>
      <c r="O23" s="23"/>
    </row>
    <row r="24" spans="3:15" ht="14.4">
      <c r="D24" s="57" t="s">
        <v>57</v>
      </c>
      <c r="E24" s="58">
        <f>IF('ENCODAGE DE MON PROJET'!E84="NON", 0, 'ENCODAGE DE MON PROJET'!E85)</f>
        <v>0</v>
      </c>
      <c r="F24" s="44"/>
      <c r="G24" s="23"/>
      <c r="H24" s="23"/>
      <c r="I24" s="24"/>
      <c r="J24" s="23"/>
      <c r="L24" s="47"/>
      <c r="M24" s="23"/>
      <c r="O24" s="23"/>
    </row>
    <row r="25" spans="3:15" ht="14.4">
      <c r="C25" s="60"/>
      <c r="D25" s="57" t="s">
        <v>58</v>
      </c>
      <c r="E25" s="58">
        <f>IF('ENCODAGE DE MON PROJET'!E103="NON", 0, 'ENCODAGE DE MON PROJET'!E104)</f>
        <v>0</v>
      </c>
      <c r="F25" s="44"/>
      <c r="G25" s="23"/>
      <c r="H25" s="23"/>
      <c r="I25" s="24"/>
      <c r="J25" s="23"/>
      <c r="L25" s="47"/>
      <c r="M25" s="23"/>
      <c r="O25" s="23"/>
    </row>
    <row r="26" spans="3:15" ht="14.4">
      <c r="C26" s="60" t="s">
        <v>145</v>
      </c>
      <c r="D26" s="42" t="s">
        <v>49</v>
      </c>
      <c r="E26" s="42"/>
      <c r="F26" s="44">
        <f>SUM(E27:E29)</f>
        <v>0</v>
      </c>
      <c r="G26" s="23" t="s">
        <v>23</v>
      </c>
      <c r="H26" s="23" t="s">
        <v>7</v>
      </c>
      <c r="I26" s="24">
        <v>15</v>
      </c>
      <c r="J26" s="23" t="s">
        <v>4</v>
      </c>
      <c r="K26" s="1" t="s">
        <v>8</v>
      </c>
      <c r="L26" s="47">
        <f>I26*F26</f>
        <v>0</v>
      </c>
      <c r="M26" s="23" t="s">
        <v>4</v>
      </c>
      <c r="N26" s="56"/>
      <c r="O26" s="23"/>
    </row>
    <row r="27" spans="3:15" ht="14.4">
      <c r="C27" s="60"/>
      <c r="D27" s="57" t="s">
        <v>52</v>
      </c>
      <c r="E27" s="58">
        <f>IF(AND('ENCODAGE DE MON PROJET'!E61="NON", 'ENCODAGE DE MON PROJET'!E84="NON"), 0, 'ENCODAGE DE MON PROJET'!E17)</f>
        <v>0</v>
      </c>
      <c r="F27" s="44"/>
      <c r="G27" s="23"/>
      <c r="H27" s="23"/>
      <c r="I27" s="24"/>
      <c r="J27" s="23"/>
      <c r="L27" s="47"/>
      <c r="M27" s="23"/>
      <c r="N27" s="56"/>
      <c r="O27" s="23"/>
    </row>
    <row r="28" spans="3:15" ht="14.4">
      <c r="C28" s="60"/>
      <c r="D28" s="57" t="s">
        <v>53</v>
      </c>
      <c r="E28" s="58">
        <f>IF(AND('ENCODAGE DE MON PROJET'!E61="NON",'ENCODAGE DE MON PROJET'!E84="NON"),0,'ENCODAGE DE MON PROJET'!E17-'ENCODAGE DE MON PROJET'!E23)</f>
        <v>0</v>
      </c>
      <c r="F28" s="44"/>
      <c r="G28" s="23"/>
      <c r="H28" s="23"/>
      <c r="I28" s="24"/>
      <c r="J28" s="23"/>
      <c r="L28" s="47"/>
      <c r="M28" s="23"/>
      <c r="N28" s="56"/>
      <c r="O28" s="23"/>
    </row>
    <row r="29" spans="3:15" ht="14.4">
      <c r="C29" s="60"/>
      <c r="D29" s="57" t="s">
        <v>54</v>
      </c>
      <c r="E29" s="58">
        <f>IF('ENCODAGE DE MON PROJET'!E103="NON",0,'ENCODAGE DE MON PROJET'!E23)</f>
        <v>0</v>
      </c>
      <c r="F29" s="44"/>
      <c r="G29" s="23"/>
      <c r="H29" s="23"/>
      <c r="I29" s="24"/>
      <c r="J29" s="23"/>
      <c r="L29" s="47"/>
      <c r="M29" s="23"/>
      <c r="N29" s="56"/>
      <c r="O29" s="23"/>
    </row>
    <row r="30" spans="3:15" ht="14.4">
      <c r="C30" s="60" t="s">
        <v>146</v>
      </c>
      <c r="D30" s="42" t="s">
        <v>51</v>
      </c>
      <c r="E30" s="42"/>
      <c r="F30" s="44">
        <f>SUM(E31:E32)</f>
        <v>0</v>
      </c>
      <c r="G30" s="23" t="s">
        <v>23</v>
      </c>
      <c r="H30" s="23" t="s">
        <v>7</v>
      </c>
      <c r="I30" s="24">
        <v>18</v>
      </c>
      <c r="J30" s="23" t="s">
        <v>4</v>
      </c>
      <c r="K30" s="1" t="s">
        <v>8</v>
      </c>
      <c r="L30" s="47">
        <f>I30*F30</f>
        <v>0</v>
      </c>
      <c r="M30" s="23" t="s">
        <v>4</v>
      </c>
      <c r="N30" s="56"/>
      <c r="O30" s="23"/>
    </row>
    <row r="31" spans="3:15" ht="14.4">
      <c r="C31" s="60"/>
      <c r="D31" s="57" t="s">
        <v>16</v>
      </c>
      <c r="E31" s="58">
        <f>IF(AND('ENCODAGE DE MON PROJET'!E61="NON", 'ENCODAGE DE MON PROJET'!E84="NON"), 0, 2*'ENCODAGE DE MON PROJET'!E18)</f>
        <v>0</v>
      </c>
      <c r="F31" s="44"/>
      <c r="G31" s="23"/>
      <c r="H31" s="23"/>
      <c r="I31" s="24"/>
      <c r="J31" s="23"/>
      <c r="L31" s="47"/>
      <c r="M31" s="23"/>
      <c r="N31" s="56"/>
      <c r="O31" s="23"/>
    </row>
    <row r="32" spans="3:15" ht="14.4">
      <c r="C32" s="60"/>
      <c r="D32" s="57" t="s">
        <v>55</v>
      </c>
      <c r="E32" s="58">
        <f>IF('ENCODAGE DE MON PROJET'!E103="NON",0,IF('ENCODAGE DE MON PROJET'!E18&gt;'ENCODAGE DE MON PROJET'!E24,'ENCODAGE DE MON PROJET'!E24+'ENCODAGE DE MON PROJET'!E25,'ENCODAGE DE MON PROJET'!E18))</f>
        <v>0</v>
      </c>
      <c r="F32" s="44"/>
      <c r="G32" s="23"/>
      <c r="H32" s="23"/>
      <c r="I32" s="24"/>
      <c r="J32" s="23"/>
      <c r="L32" s="47"/>
      <c r="M32" s="23"/>
      <c r="N32" s="56"/>
      <c r="O32" s="23"/>
    </row>
    <row r="33" spans="3:15" ht="14.4">
      <c r="C33" s="60" t="s">
        <v>147</v>
      </c>
      <c r="D33" s="42" t="s">
        <v>63</v>
      </c>
      <c r="E33" s="42"/>
      <c r="F33" s="22">
        <f>SUM(E34:E36)</f>
        <v>0</v>
      </c>
      <c r="G33" s="23" t="s">
        <v>12</v>
      </c>
      <c r="H33" s="23" t="s">
        <v>7</v>
      </c>
      <c r="I33" s="24">
        <v>80</v>
      </c>
      <c r="J33" s="23" t="s">
        <v>4</v>
      </c>
      <c r="K33" s="1" t="s">
        <v>8</v>
      </c>
      <c r="L33" s="47">
        <f>I33*F33</f>
        <v>0</v>
      </c>
      <c r="M33" s="23" t="s">
        <v>4</v>
      </c>
      <c r="N33" s="56"/>
      <c r="O33" s="23"/>
    </row>
    <row r="34" spans="3:15" ht="14.4">
      <c r="C34" s="60"/>
      <c r="D34" s="57" t="s">
        <v>52</v>
      </c>
      <c r="E34" s="118">
        <f>IF('ENCODAGE DE MON PROJET'!E123="NON", 0, 'ENCODAGE DE MON PROJET'!E28)</f>
        <v>0</v>
      </c>
      <c r="F34" s="44"/>
      <c r="G34" s="23"/>
      <c r="H34" s="23"/>
      <c r="I34" s="24"/>
      <c r="J34" s="23"/>
      <c r="L34" s="47"/>
      <c r="M34" s="23"/>
      <c r="N34" s="56"/>
      <c r="O34" s="23"/>
    </row>
    <row r="35" spans="3:15" ht="14.4">
      <c r="C35" s="60"/>
      <c r="D35" s="57" t="s">
        <v>53</v>
      </c>
      <c r="E35" s="118">
        <f>IF('ENCODAGE DE MON PROJET'!E153="NON", 0, 'ENCODAGE DE MON PROJET'!E29)</f>
        <v>0</v>
      </c>
      <c r="F35" s="44"/>
      <c r="G35" s="23"/>
      <c r="H35" s="23"/>
      <c r="I35" s="24"/>
      <c r="J35" s="23"/>
      <c r="L35" s="47"/>
      <c r="M35" s="23"/>
      <c r="N35" s="56"/>
      <c r="O35" s="23"/>
    </row>
    <row r="36" spans="3:15" ht="14.4">
      <c r="C36" s="60"/>
      <c r="D36" s="57" t="s">
        <v>54</v>
      </c>
      <c r="E36" s="118">
        <f>IF('ENCODAGE DE MON PROJET'!E172="NON", 0, 'ENCODAGE DE MON PROJET'!E30)</f>
        <v>0</v>
      </c>
      <c r="F36" s="44"/>
      <c r="G36" s="23"/>
      <c r="H36" s="23"/>
      <c r="I36" s="24"/>
      <c r="J36" s="23"/>
      <c r="L36" s="47"/>
      <c r="M36" s="23"/>
      <c r="N36" s="56"/>
      <c r="O36" s="23"/>
    </row>
    <row r="37" spans="3:15" ht="14.4">
      <c r="C37" s="60" t="s">
        <v>148</v>
      </c>
      <c r="D37" s="42" t="s">
        <v>319</v>
      </c>
      <c r="E37" s="42"/>
      <c r="F37" s="22">
        <f>SUM(E38:E40)</f>
        <v>0</v>
      </c>
      <c r="G37" s="23" t="s">
        <v>12</v>
      </c>
      <c r="H37" s="23" t="s">
        <v>7</v>
      </c>
      <c r="I37" s="24">
        <v>300</v>
      </c>
      <c r="J37" s="23" t="s">
        <v>4</v>
      </c>
      <c r="K37" s="1" t="s">
        <v>8</v>
      </c>
      <c r="L37" s="47">
        <f>I37*F37</f>
        <v>0</v>
      </c>
      <c r="M37" s="23" t="s">
        <v>4</v>
      </c>
      <c r="N37" s="56"/>
      <c r="O37" s="23"/>
    </row>
    <row r="38" spans="3:15" ht="14.4">
      <c r="C38" s="60"/>
      <c r="D38" s="57" t="s">
        <v>52</v>
      </c>
      <c r="E38" s="118">
        <f>IF('ENCODAGE DE MON PROJET'!E123="OUI", 'ENCODAGE DE MON PROJET'!E28, IF('ENCODAGE DE MON PROJET'!E251="OUI",'ENCODAGE DE MON PROJET'!E253,0))</f>
        <v>0</v>
      </c>
      <c r="F38" s="44"/>
      <c r="G38" s="23"/>
      <c r="H38" s="23"/>
      <c r="I38" s="24"/>
      <c r="J38" s="23"/>
      <c r="L38" s="47"/>
      <c r="M38" s="23"/>
      <c r="N38" s="56"/>
      <c r="O38" s="23"/>
    </row>
    <row r="39" spans="3:15" ht="14.4">
      <c r="C39" s="60"/>
      <c r="D39" s="57" t="s">
        <v>53</v>
      </c>
      <c r="E39" s="118">
        <f>IF('ENCODAGE DE MON PROJET'!E153="OUI", 'ENCODAGE DE MON PROJET'!E29, IF('ENCODAGE DE MON PROJET'!E251="OUI",'ENCODAGE DE MON PROJET'!E254,0))</f>
        <v>0</v>
      </c>
      <c r="F39" s="44"/>
      <c r="G39" s="23"/>
      <c r="H39" s="23"/>
      <c r="I39" s="24"/>
      <c r="J39" s="23"/>
      <c r="L39" s="47"/>
      <c r="M39" s="23"/>
      <c r="N39" s="56"/>
      <c r="O39" s="23"/>
    </row>
    <row r="40" spans="3:15" ht="14.4">
      <c r="C40" s="60"/>
      <c r="D40" s="57" t="s">
        <v>54</v>
      </c>
      <c r="E40" s="118">
        <f>IF('ENCODAGE DE MON PROJET'!E172="OUI", 'ENCODAGE DE MON PROJET'!E30, IF('ENCODAGE DE MON PROJET'!E251="OUI",'ENCODAGE DE MON PROJET'!E255,0))</f>
        <v>0</v>
      </c>
      <c r="F40" s="44"/>
      <c r="G40" s="23"/>
      <c r="H40" s="23"/>
      <c r="I40" s="24"/>
      <c r="J40" s="23"/>
      <c r="L40" s="47"/>
      <c r="M40" s="23"/>
      <c r="N40" s="56"/>
      <c r="O40" s="23"/>
    </row>
    <row r="41" spans="3:15" ht="14.4">
      <c r="C41" s="60" t="s">
        <v>149</v>
      </c>
      <c r="D41" s="42" t="s">
        <v>73</v>
      </c>
      <c r="E41" s="42"/>
      <c r="F41" s="22">
        <f>IF('ENCODAGE DE MON PROJET'!E124="NON", 0, 'ENCODAGE DE MON PROJET'!E125)</f>
        <v>0</v>
      </c>
      <c r="G41" s="23" t="s">
        <v>11</v>
      </c>
      <c r="H41" s="23" t="s">
        <v>7</v>
      </c>
      <c r="I41" s="24">
        <v>11</v>
      </c>
      <c r="J41" s="23" t="s">
        <v>4</v>
      </c>
      <c r="K41" s="1" t="s">
        <v>8</v>
      </c>
      <c r="L41" s="47">
        <f>I41*F41</f>
        <v>0</v>
      </c>
      <c r="M41" s="23" t="s">
        <v>4</v>
      </c>
      <c r="N41" s="56"/>
      <c r="O41" s="23"/>
    </row>
    <row r="42" spans="3:15" ht="14.4">
      <c r="C42" s="60" t="s">
        <v>288</v>
      </c>
      <c r="D42" s="42" t="s">
        <v>127</v>
      </c>
      <c r="E42" s="42"/>
      <c r="F42" s="22">
        <f>IF(AND('ENCODAGE DE MON PROJET'!E333="OUI",'ENCODAGE DE MON PROJET'!E334="pompe à chaleur"),'ENCODAGE DE MON PROJET'!E335,0)</f>
        <v>0</v>
      </c>
      <c r="G42" s="23" t="s">
        <v>12</v>
      </c>
      <c r="H42" s="23" t="s">
        <v>7</v>
      </c>
      <c r="I42" s="24">
        <v>58</v>
      </c>
      <c r="J42" s="23" t="s">
        <v>4</v>
      </c>
      <c r="K42" s="1" t="s">
        <v>8</v>
      </c>
      <c r="L42" s="47">
        <f>I42*F42</f>
        <v>0</v>
      </c>
      <c r="M42" s="23" t="s">
        <v>4</v>
      </c>
      <c r="N42" s="56"/>
      <c r="O42" s="23"/>
    </row>
    <row r="43" spans="3:15" ht="14.4">
      <c r="C43" s="60"/>
      <c r="D43" s="57"/>
      <c r="E43" s="58"/>
      <c r="F43" s="44"/>
      <c r="G43" s="23"/>
      <c r="H43" s="23"/>
      <c r="I43" s="24"/>
      <c r="J43" s="23"/>
      <c r="L43" s="47"/>
      <c r="M43" s="23"/>
      <c r="N43" s="56"/>
      <c r="O43" s="23"/>
    </row>
    <row r="44" spans="3:15" ht="14.4">
      <c r="C44" s="65" t="s">
        <v>150</v>
      </c>
      <c r="D44" s="43" t="s">
        <v>74</v>
      </c>
      <c r="E44" s="43"/>
      <c r="F44"/>
      <c r="G44"/>
      <c r="H44"/>
      <c r="I44"/>
      <c r="L44" s="46"/>
    </row>
    <row r="45" spans="3:15" ht="14.4">
      <c r="C45" s="60" t="s">
        <v>151</v>
      </c>
      <c r="D45" s="42" t="s">
        <v>79</v>
      </c>
      <c r="E45" s="42"/>
      <c r="F45" s="44">
        <f>SUM(E46:E47)</f>
        <v>0</v>
      </c>
      <c r="G45" s="23" t="s">
        <v>11</v>
      </c>
      <c r="H45" s="23" t="s">
        <v>7</v>
      </c>
      <c r="I45" s="24">
        <v>84</v>
      </c>
      <c r="J45" s="23" t="s">
        <v>4</v>
      </c>
      <c r="K45" s="1" t="s">
        <v>8</v>
      </c>
      <c r="L45" s="47">
        <f>I45*F45</f>
        <v>0</v>
      </c>
      <c r="M45" s="23" t="s">
        <v>4</v>
      </c>
      <c r="N45" s="56"/>
      <c r="O45" s="23"/>
    </row>
    <row r="46" spans="3:15" ht="14.4">
      <c r="C46" s="60"/>
      <c r="D46" s="57" t="s">
        <v>76</v>
      </c>
      <c r="E46" s="58">
        <f>IF('ENCODAGE DE MON PROJET'!E211="NON", 0, 'ENCODAGE DE MON PROJET'!E212)</f>
        <v>0</v>
      </c>
      <c r="F46" s="44"/>
      <c r="G46" s="23"/>
      <c r="H46" s="23"/>
      <c r="I46" s="24"/>
      <c r="J46" s="23"/>
      <c r="L46" s="47"/>
      <c r="M46" s="23"/>
      <c r="N46" s="56"/>
      <c r="O46" s="23"/>
    </row>
    <row r="47" spans="3:15" ht="14.4">
      <c r="C47" s="60"/>
      <c r="D47" s="57" t="s">
        <v>77</v>
      </c>
      <c r="E47" s="58">
        <f>IF('ENCODAGE DE MON PROJET'!E230="NON", 0, IF('ENCODAGE DE MON PROJET'!E231="plancher béton",'ENCODAGE DE MON PROJET'!E232,0))</f>
        <v>0</v>
      </c>
      <c r="F47" s="44"/>
      <c r="G47" s="23"/>
      <c r="H47" s="23"/>
      <c r="I47" s="24"/>
      <c r="J47" s="23"/>
      <c r="L47" s="47"/>
      <c r="M47" s="23"/>
      <c r="N47" s="56"/>
      <c r="O47" s="23"/>
    </row>
    <row r="48" spans="3:15" ht="14.4">
      <c r="C48" s="60" t="s">
        <v>152</v>
      </c>
      <c r="D48" s="42" t="s">
        <v>78</v>
      </c>
      <c r="E48" s="42"/>
      <c r="F48" s="44">
        <f>SUM(E49)</f>
        <v>0</v>
      </c>
      <c r="G48" s="23" t="s">
        <v>11</v>
      </c>
      <c r="H48" s="23" t="s">
        <v>7</v>
      </c>
      <c r="I48" s="24">
        <v>48</v>
      </c>
      <c r="J48" s="23" t="s">
        <v>4</v>
      </c>
      <c r="K48" s="1" t="s">
        <v>8</v>
      </c>
      <c r="L48" s="47">
        <f>I48*F48</f>
        <v>0</v>
      </c>
      <c r="M48" s="23" t="s">
        <v>4</v>
      </c>
      <c r="N48" s="56"/>
      <c r="O48" s="23"/>
    </row>
    <row r="49" spans="3:16" ht="14.4">
      <c r="C49" s="60"/>
      <c r="D49" s="57" t="s">
        <v>77</v>
      </c>
      <c r="E49" s="58">
        <f>IF('ENCODAGE DE MON PROJET'!E230="NON", 0, IF('ENCODAGE DE MON PROJET'!E231="gîtage bois",'ENCODAGE DE MON PROJET'!E232,0))</f>
        <v>0</v>
      </c>
      <c r="F49" s="44"/>
      <c r="G49" s="23"/>
      <c r="H49" s="23"/>
      <c r="I49" s="24"/>
      <c r="J49" s="23"/>
      <c r="L49" s="47"/>
      <c r="M49" s="23"/>
      <c r="N49" s="56"/>
      <c r="O49" s="23"/>
    </row>
    <row r="50" spans="3:16" ht="14.4">
      <c r="C50" s="60" t="s">
        <v>151</v>
      </c>
      <c r="D50" s="42" t="s">
        <v>337</v>
      </c>
      <c r="E50" s="42"/>
      <c r="F50" s="44">
        <f>SUM(E51:E52)</f>
        <v>0</v>
      </c>
      <c r="G50" s="23" t="s">
        <v>11</v>
      </c>
      <c r="H50" s="23" t="s">
        <v>7</v>
      </c>
      <c r="I50" s="24">
        <v>40</v>
      </c>
      <c r="J50" s="23" t="s">
        <v>4</v>
      </c>
      <c r="K50" s="1" t="s">
        <v>8</v>
      </c>
      <c r="L50" s="47">
        <f>I50*F50</f>
        <v>0</v>
      </c>
      <c r="M50" s="23" t="s">
        <v>4</v>
      </c>
      <c r="N50" s="56"/>
      <c r="O50" s="23"/>
    </row>
    <row r="51" spans="3:16" ht="14.4">
      <c r="C51" s="60"/>
      <c r="D51" s="57" t="s">
        <v>76</v>
      </c>
      <c r="E51" s="58">
        <f>IF('ENCODAGE DE MON PROJET'!E211="NON", 0, 'ENCODAGE DE MON PROJET'!E212)</f>
        <v>0</v>
      </c>
      <c r="F51" s="44"/>
      <c r="G51" s="23"/>
      <c r="H51" s="23"/>
      <c r="I51" s="24"/>
      <c r="J51" s="23"/>
      <c r="L51" s="47"/>
      <c r="M51" s="23"/>
      <c r="N51" s="56"/>
      <c r="O51" s="23"/>
    </row>
    <row r="52" spans="3:16" ht="14.4">
      <c r="C52" s="60"/>
      <c r="D52" s="57"/>
      <c r="E52" s="58"/>
      <c r="F52" s="44"/>
      <c r="G52" s="23"/>
      <c r="H52" s="23"/>
      <c r="I52" s="24"/>
      <c r="J52" s="23"/>
      <c r="L52" s="47"/>
      <c r="M52" s="23"/>
      <c r="N52" s="56"/>
      <c r="O52" s="23"/>
    </row>
    <row r="53" spans="3:16" ht="14.4">
      <c r="C53" s="65" t="s">
        <v>153</v>
      </c>
      <c r="D53" s="43" t="s">
        <v>80</v>
      </c>
      <c r="E53" s="43"/>
      <c r="F53"/>
      <c r="G53"/>
      <c r="H53"/>
      <c r="I53"/>
      <c r="L53" s="46"/>
    </row>
    <row r="54" spans="3:16" ht="14.4">
      <c r="C54" s="60" t="s">
        <v>154</v>
      </c>
      <c r="D54" s="42" t="s">
        <v>86</v>
      </c>
      <c r="E54" s="42"/>
      <c r="F54" s="44">
        <f>IF('ENCODAGE DE MON PROJET'!E124="NON", 0, 'ENCODAGE DE MON PROJET'!E125)</f>
        <v>0</v>
      </c>
      <c r="G54" s="23" t="s">
        <v>11</v>
      </c>
      <c r="H54" s="23" t="s">
        <v>7</v>
      </c>
      <c r="I54" s="24">
        <v>37</v>
      </c>
      <c r="J54" s="23" t="s">
        <v>4</v>
      </c>
      <c r="K54" s="1" t="s">
        <v>8</v>
      </c>
      <c r="L54" s="47">
        <f t="shared" ref="L54:L59" si="0">I54*F54</f>
        <v>0</v>
      </c>
      <c r="M54" s="23" t="s">
        <v>4</v>
      </c>
      <c r="N54" s="56"/>
      <c r="O54" s="23"/>
    </row>
    <row r="55" spans="3:16" ht="14.4">
      <c r="C55" s="60" t="s">
        <v>155</v>
      </c>
      <c r="D55" s="42" t="s">
        <v>82</v>
      </c>
      <c r="E55" s="42"/>
      <c r="F55" s="44">
        <f>F54</f>
        <v>0</v>
      </c>
      <c r="G55" s="23" t="s">
        <v>11</v>
      </c>
      <c r="H55" s="23" t="s">
        <v>7</v>
      </c>
      <c r="I55" s="24">
        <v>26</v>
      </c>
      <c r="J55" s="23" t="s">
        <v>4</v>
      </c>
      <c r="K55" s="1" t="s">
        <v>8</v>
      </c>
      <c r="L55" s="47">
        <f t="shared" si="0"/>
        <v>0</v>
      </c>
      <c r="M55" s="23" t="s">
        <v>4</v>
      </c>
      <c r="N55" s="56"/>
      <c r="O55" s="23"/>
    </row>
    <row r="56" spans="3:16" ht="14.4">
      <c r="C56" s="60" t="s">
        <v>156</v>
      </c>
      <c r="D56" s="42" t="s">
        <v>81</v>
      </c>
      <c r="E56" s="42"/>
      <c r="F56" s="44">
        <f>F55</f>
        <v>0</v>
      </c>
      <c r="G56" s="23" t="s">
        <v>11</v>
      </c>
      <c r="H56" s="23" t="s">
        <v>7</v>
      </c>
      <c r="I56" s="24">
        <v>42</v>
      </c>
      <c r="J56" s="23" t="s">
        <v>4</v>
      </c>
      <c r="K56" s="1" t="s">
        <v>8</v>
      </c>
      <c r="L56" s="47">
        <f t="shared" si="0"/>
        <v>0</v>
      </c>
      <c r="M56" s="23" t="s">
        <v>4</v>
      </c>
      <c r="N56" s="56"/>
      <c r="O56" s="23"/>
    </row>
    <row r="57" spans="3:16" ht="14.4">
      <c r="C57" s="60" t="s">
        <v>157</v>
      </c>
      <c r="D57" s="42" t="s">
        <v>83</v>
      </c>
      <c r="E57" s="42"/>
      <c r="F57" s="44">
        <f>F56</f>
        <v>0</v>
      </c>
      <c r="G57" s="23" t="s">
        <v>11</v>
      </c>
      <c r="H57" s="23" t="s">
        <v>7</v>
      </c>
      <c r="I57" s="24">
        <v>48</v>
      </c>
      <c r="J57" s="23" t="s">
        <v>4</v>
      </c>
      <c r="K57" s="1" t="s">
        <v>8</v>
      </c>
      <c r="L57" s="47">
        <f t="shared" si="0"/>
        <v>0</v>
      </c>
      <c r="M57" s="23" t="s">
        <v>4</v>
      </c>
      <c r="N57" s="56"/>
      <c r="O57" s="23"/>
    </row>
    <row r="58" spans="3:16" ht="14.4">
      <c r="C58" s="60" t="s">
        <v>158</v>
      </c>
      <c r="D58" s="42" t="s">
        <v>84</v>
      </c>
      <c r="E58" s="42"/>
      <c r="F58" s="22">
        <f>IF('ENCODAGE DE MON PROJET'!E124="NON", 0, 1)</f>
        <v>0</v>
      </c>
      <c r="G58" s="23" t="s">
        <v>0</v>
      </c>
      <c r="H58" s="23" t="s">
        <v>7</v>
      </c>
      <c r="I58" s="24">
        <v>1500</v>
      </c>
      <c r="J58" s="23" t="s">
        <v>4</v>
      </c>
      <c r="K58" s="1" t="s">
        <v>8</v>
      </c>
      <c r="L58" s="47">
        <f t="shared" si="0"/>
        <v>0</v>
      </c>
      <c r="M58" s="23" t="s">
        <v>4</v>
      </c>
      <c r="N58" s="56"/>
      <c r="O58" s="23"/>
    </row>
    <row r="59" spans="3:16" ht="14.4">
      <c r="C59" s="60" t="s">
        <v>159</v>
      </c>
      <c r="D59" s="42" t="s">
        <v>17</v>
      </c>
      <c r="E59" s="42"/>
      <c r="F59" s="44">
        <f>F57</f>
        <v>0</v>
      </c>
      <c r="G59" s="23" t="s">
        <v>11</v>
      </c>
      <c r="H59" s="23" t="s">
        <v>7</v>
      </c>
      <c r="I59" s="24">
        <v>26</v>
      </c>
      <c r="J59" s="23" t="s">
        <v>4</v>
      </c>
      <c r="K59" s="1" t="s">
        <v>8</v>
      </c>
      <c r="L59" s="47">
        <f t="shared" si="0"/>
        <v>0</v>
      </c>
      <c r="M59" s="23" t="s">
        <v>4</v>
      </c>
      <c r="N59" s="56"/>
      <c r="O59" s="23"/>
    </row>
    <row r="60" spans="3:16" ht="14.4">
      <c r="C60" s="60"/>
      <c r="D60" s="57"/>
      <c r="E60" s="58"/>
      <c r="F60" s="44"/>
      <c r="G60" s="23"/>
      <c r="H60" s="23"/>
      <c r="I60" s="24"/>
      <c r="J60" s="23"/>
      <c r="L60" s="47"/>
      <c r="M60" s="23"/>
      <c r="N60" s="56"/>
      <c r="O60" s="23"/>
    </row>
    <row r="61" spans="3:16" ht="14.4">
      <c r="C61" s="65" t="s">
        <v>160</v>
      </c>
      <c r="D61" s="43" t="s">
        <v>85</v>
      </c>
      <c r="E61" s="43"/>
      <c r="F61"/>
      <c r="G61"/>
      <c r="H61"/>
      <c r="I61"/>
      <c r="L61" s="46"/>
    </row>
    <row r="62" spans="3:16" ht="14.4">
      <c r="C62" s="60" t="s">
        <v>161</v>
      </c>
      <c r="D62" s="42" t="s">
        <v>87</v>
      </c>
      <c r="E62" s="42"/>
      <c r="F62" s="44">
        <f>IF('ENCODAGE DE MON PROJET'!E51="OUI",0,SUM(E63:E66))</f>
        <v>0</v>
      </c>
      <c r="G62" s="23" t="s">
        <v>11</v>
      </c>
      <c r="H62" s="23" t="s">
        <v>7</v>
      </c>
      <c r="I62" s="24">
        <v>150</v>
      </c>
      <c r="J62" s="23" t="s">
        <v>4</v>
      </c>
      <c r="K62" s="1" t="s">
        <v>8</v>
      </c>
      <c r="L62" s="47">
        <f>I62*F62</f>
        <v>0</v>
      </c>
      <c r="M62" s="23" t="s">
        <v>4</v>
      </c>
      <c r="N62" s="56"/>
      <c r="O62" s="23"/>
      <c r="P62" s="92"/>
    </row>
    <row r="63" spans="3:16" ht="14.4">
      <c r="C63" s="60"/>
      <c r="D63" s="57" t="s">
        <v>52</v>
      </c>
      <c r="E63" s="58">
        <f>IF('ENCODAGE DE MON PROJET'!E123="NON", 0, 'ENCODAGE DE MON PROJET'!E125)</f>
        <v>0</v>
      </c>
      <c r="F63" s="44"/>
      <c r="G63" s="23"/>
      <c r="H63" s="23"/>
      <c r="I63" s="24"/>
      <c r="J63" s="23"/>
      <c r="L63" s="47"/>
      <c r="M63" s="23"/>
      <c r="N63" s="56"/>
      <c r="O63" s="23"/>
    </row>
    <row r="64" spans="3:16" ht="14.4">
      <c r="C64" s="60"/>
      <c r="D64" s="57" t="s">
        <v>53</v>
      </c>
      <c r="E64" s="58">
        <f>IF('ENCODAGE DE MON PROJET'!E153="NON", 0, 'ENCODAGE DE MON PROJET'!E154)</f>
        <v>0</v>
      </c>
      <c r="F64" s="44"/>
      <c r="G64" s="23"/>
      <c r="H64" s="23"/>
      <c r="I64" s="24"/>
      <c r="J64" s="23"/>
      <c r="L64" s="47"/>
      <c r="M64" s="23"/>
      <c r="N64" s="56"/>
      <c r="O64" s="23"/>
    </row>
    <row r="65" spans="3:15" ht="14.4">
      <c r="C65" s="60"/>
      <c r="D65" s="57" t="s">
        <v>54</v>
      </c>
      <c r="E65" s="58">
        <f>IF('ENCODAGE DE MON PROJET'!E172="NON", 0, 'ENCODAGE DE MON PROJET'!E173)</f>
        <v>0</v>
      </c>
      <c r="F65" s="44"/>
      <c r="G65" s="23"/>
      <c r="H65" s="23"/>
      <c r="I65" s="24"/>
      <c r="J65" s="23"/>
      <c r="L65" s="47"/>
      <c r="M65" s="23"/>
      <c r="N65" s="56"/>
      <c r="O65" s="23"/>
    </row>
    <row r="66" spans="3:15" ht="14.4">
      <c r="C66" s="60"/>
      <c r="D66" s="57" t="s">
        <v>451</v>
      </c>
      <c r="E66" s="58">
        <f>IF('ENCODAGE DE MON PROJET'!E191="NON", 0, 'ENCODAGE DE MON PROJET'!E192)</f>
        <v>0</v>
      </c>
      <c r="F66" s="44"/>
      <c r="G66" s="23"/>
      <c r="H66" s="23"/>
      <c r="I66" s="24"/>
      <c r="J66" s="23"/>
      <c r="L66" s="47"/>
      <c r="M66" s="23"/>
      <c r="N66" s="56"/>
      <c r="O66" s="23"/>
    </row>
    <row r="67" spans="3:15" ht="14.4">
      <c r="C67" s="60" t="s">
        <v>162</v>
      </c>
      <c r="D67" s="42" t="s">
        <v>89</v>
      </c>
      <c r="E67" s="42"/>
      <c r="F67" s="44">
        <f>IF('ENCODAGE DE MON PROJET'!E51="NON",0,SUM(E68:E71))</f>
        <v>0</v>
      </c>
      <c r="G67" s="23" t="s">
        <v>11</v>
      </c>
      <c r="H67" s="23" t="s">
        <v>7</v>
      </c>
      <c r="I67" s="24">
        <v>190</v>
      </c>
      <c r="J67" s="23" t="s">
        <v>4</v>
      </c>
      <c r="K67" s="1" t="s">
        <v>8</v>
      </c>
      <c r="L67" s="47">
        <f>I67*F67</f>
        <v>0</v>
      </c>
      <c r="M67" s="23" t="s">
        <v>4</v>
      </c>
      <c r="N67" s="56"/>
      <c r="O67" s="23"/>
    </row>
    <row r="68" spans="3:15" ht="15" customHeight="1">
      <c r="C68" s="60"/>
      <c r="D68" s="57" t="s">
        <v>52</v>
      </c>
      <c r="E68" s="58">
        <f>E63</f>
        <v>0</v>
      </c>
      <c r="F68" s="44"/>
      <c r="G68" s="23"/>
      <c r="H68" s="23"/>
      <c r="I68" s="24"/>
      <c r="J68" s="23"/>
      <c r="L68" s="47"/>
      <c r="M68" s="23"/>
      <c r="N68" s="56"/>
      <c r="O68" s="23"/>
    </row>
    <row r="69" spans="3:15" ht="14.4">
      <c r="C69" s="60"/>
      <c r="D69" s="57" t="s">
        <v>53</v>
      </c>
      <c r="E69" s="58">
        <f>E64</f>
        <v>0</v>
      </c>
      <c r="F69" s="44"/>
      <c r="G69" s="23"/>
      <c r="H69" s="23"/>
      <c r="I69" s="24"/>
      <c r="J69" s="23"/>
      <c r="L69" s="47"/>
      <c r="M69" s="23"/>
      <c r="N69" s="56"/>
      <c r="O69" s="23"/>
    </row>
    <row r="70" spans="3:15" ht="14.4">
      <c r="C70" s="60"/>
      <c r="D70" s="57" t="s">
        <v>54</v>
      </c>
      <c r="E70" s="58">
        <f>E65</f>
        <v>0</v>
      </c>
      <c r="F70" s="44"/>
      <c r="G70" s="23"/>
      <c r="H70" s="23"/>
      <c r="I70" s="24"/>
      <c r="J70" s="23"/>
      <c r="L70" s="47"/>
      <c r="M70" s="23"/>
      <c r="N70" s="56"/>
      <c r="O70" s="23"/>
    </row>
    <row r="71" spans="3:15" ht="14.4">
      <c r="C71" s="60"/>
      <c r="D71" s="57" t="s">
        <v>451</v>
      </c>
      <c r="E71" s="58">
        <f>E66</f>
        <v>0</v>
      </c>
      <c r="F71" s="44"/>
      <c r="G71" s="23"/>
      <c r="H71" s="23"/>
      <c r="I71" s="24"/>
      <c r="J71" s="23"/>
      <c r="L71" s="47"/>
      <c r="M71" s="23"/>
      <c r="N71" s="56"/>
      <c r="O71" s="23"/>
    </row>
    <row r="72" spans="3:15" ht="14.4">
      <c r="C72" s="60" t="s">
        <v>163</v>
      </c>
      <c r="D72" s="42" t="s">
        <v>88</v>
      </c>
      <c r="E72" s="42"/>
      <c r="F72" s="44">
        <f>SUM(E73:E74)</f>
        <v>0</v>
      </c>
      <c r="G72" s="23" t="s">
        <v>23</v>
      </c>
      <c r="H72" s="23" t="s">
        <v>7</v>
      </c>
      <c r="I72" s="24">
        <v>73</v>
      </c>
      <c r="J72" s="23" t="s">
        <v>4</v>
      </c>
      <c r="K72" s="1" t="s">
        <v>8</v>
      </c>
      <c r="L72" s="47">
        <f>I72*F72</f>
        <v>0</v>
      </c>
      <c r="M72" s="23" t="s">
        <v>4</v>
      </c>
      <c r="N72" s="56"/>
      <c r="O72" s="23"/>
    </row>
    <row r="73" spans="3:15" ht="14.4">
      <c r="C73" s="60"/>
      <c r="D73" s="57" t="s">
        <v>53</v>
      </c>
      <c r="E73" s="58">
        <f>IF('ENCODAGE DE MON PROJET'!E153="NON", 0, IF('ENCODAGE DE MON PROJET'!E18&gt;'ENCODAGE DE MON PROJET'!E24,'ENCODAGE DE MON PROJET'!E18-'ENCODAGE DE MON PROJET'!E24,0))</f>
        <v>0</v>
      </c>
      <c r="F73" s="44"/>
      <c r="G73" s="23"/>
      <c r="H73" s="23"/>
      <c r="I73" s="24"/>
      <c r="J73" s="23"/>
      <c r="L73" s="47"/>
      <c r="M73" s="23"/>
      <c r="N73" s="56"/>
      <c r="O73" s="23"/>
    </row>
    <row r="74" spans="3:15" ht="14.4">
      <c r="C74" s="60"/>
      <c r="D74" s="57" t="s">
        <v>54</v>
      </c>
      <c r="E74" s="58">
        <f>IF('ENCODAGE DE MON PROJET'!E172="NON",0,IF('ENCODAGE DE MON PROJET'!E18&gt;'ENCODAGE DE MON PROJET'!E24,'ENCODAGE DE MON PROJET'!E24+'ENCODAGE DE MON PROJET'!E25,'ENCODAGE DE MON PROJET'!E18))</f>
        <v>0</v>
      </c>
      <c r="F74" s="44"/>
      <c r="G74" s="23"/>
      <c r="H74" s="23"/>
      <c r="I74" s="24"/>
      <c r="J74" s="23"/>
      <c r="L74" s="47"/>
      <c r="M74" s="23"/>
      <c r="N74" s="56"/>
      <c r="O74" s="23"/>
    </row>
    <row r="75" spans="3:15" ht="14.4">
      <c r="C75" s="60" t="s">
        <v>164</v>
      </c>
      <c r="D75" s="42" t="s">
        <v>90</v>
      </c>
      <c r="E75" s="42"/>
      <c r="F75" s="44">
        <f>SUM(E76:E77)</f>
        <v>0</v>
      </c>
      <c r="G75" s="23" t="s">
        <v>23</v>
      </c>
      <c r="H75" s="23" t="s">
        <v>7</v>
      </c>
      <c r="I75" s="24">
        <v>50</v>
      </c>
      <c r="J75" s="23" t="s">
        <v>4</v>
      </c>
      <c r="K75" s="1" t="s">
        <v>8</v>
      </c>
      <c r="L75" s="47">
        <f>I75*F75</f>
        <v>0</v>
      </c>
      <c r="M75" s="23" t="s">
        <v>4</v>
      </c>
      <c r="N75" s="56"/>
      <c r="O75" s="23"/>
    </row>
    <row r="76" spans="3:15" ht="14.4">
      <c r="C76" s="60"/>
      <c r="D76" s="57" t="s">
        <v>53</v>
      </c>
      <c r="E76" s="58">
        <f>E73</f>
        <v>0</v>
      </c>
      <c r="F76" s="44"/>
      <c r="G76" s="23"/>
      <c r="H76" s="23"/>
      <c r="I76" s="24"/>
      <c r="J76" s="23"/>
      <c r="L76" s="47"/>
      <c r="M76" s="23"/>
      <c r="N76" s="56"/>
      <c r="O76" s="23"/>
    </row>
    <row r="77" spans="3:15" ht="14.4">
      <c r="C77" s="60"/>
      <c r="D77" s="57" t="s">
        <v>54</v>
      </c>
      <c r="E77" s="58">
        <f>E74</f>
        <v>0</v>
      </c>
      <c r="F77" s="44"/>
      <c r="G77" s="23"/>
      <c r="H77" s="23"/>
      <c r="I77" s="24"/>
      <c r="J77" s="23"/>
      <c r="L77" s="47"/>
      <c r="M77" s="23"/>
      <c r="N77" s="56"/>
      <c r="O77" s="23"/>
    </row>
    <row r="78" spans="3:15" ht="14.4">
      <c r="C78" s="60" t="s">
        <v>165</v>
      </c>
      <c r="D78" s="42" t="s">
        <v>91</v>
      </c>
      <c r="E78" s="42"/>
      <c r="F78" s="44">
        <f>SUM(E79:E80)</f>
        <v>0</v>
      </c>
      <c r="G78" s="23" t="s">
        <v>23</v>
      </c>
      <c r="H78" s="23" t="s">
        <v>7</v>
      </c>
      <c r="I78" s="24">
        <v>75</v>
      </c>
      <c r="J78" s="23" t="s">
        <v>4</v>
      </c>
      <c r="K78" s="1" t="s">
        <v>8</v>
      </c>
      <c r="L78" s="47">
        <f>I78*F78</f>
        <v>0</v>
      </c>
      <c r="M78" s="23" t="s">
        <v>4</v>
      </c>
      <c r="N78" s="56"/>
      <c r="O78" s="23"/>
    </row>
    <row r="79" spans="3:15" ht="14.4">
      <c r="C79" s="60"/>
      <c r="D79" s="57" t="s">
        <v>53</v>
      </c>
      <c r="E79" s="58">
        <f>E73</f>
        <v>0</v>
      </c>
      <c r="F79" s="44"/>
      <c r="G79" s="23"/>
      <c r="H79" s="23"/>
      <c r="I79" s="24"/>
      <c r="J79" s="23"/>
      <c r="L79" s="47"/>
      <c r="M79" s="23"/>
      <c r="N79" s="56"/>
      <c r="O79" s="23"/>
    </row>
    <row r="80" spans="3:15" ht="14.4">
      <c r="C80" s="60"/>
      <c r="D80" s="57" t="s">
        <v>54</v>
      </c>
      <c r="E80" s="58">
        <f>E74</f>
        <v>0</v>
      </c>
      <c r="F80" s="44"/>
      <c r="G80" s="23"/>
      <c r="H80" s="23"/>
      <c r="I80" s="24"/>
      <c r="J80" s="23"/>
      <c r="L80" s="47"/>
      <c r="M80" s="23"/>
      <c r="N80" s="56"/>
      <c r="O80" s="23"/>
    </row>
    <row r="81" spans="3:15" ht="14.4">
      <c r="C81" s="60" t="s">
        <v>166</v>
      </c>
      <c r="D81" s="42" t="s">
        <v>97</v>
      </c>
      <c r="E81" s="42"/>
      <c r="F81" s="44"/>
      <c r="G81" s="23"/>
      <c r="H81" s="23"/>
      <c r="I81" s="24"/>
      <c r="J81" s="23"/>
      <c r="L81" s="59" t="s">
        <v>6</v>
      </c>
      <c r="M81" s="23"/>
      <c r="N81" s="56"/>
      <c r="O81" s="23"/>
    </row>
    <row r="82" spans="3:15" ht="14.4">
      <c r="C82" s="60" t="s">
        <v>167</v>
      </c>
      <c r="D82" s="42" t="s">
        <v>128</v>
      </c>
      <c r="E82" s="42"/>
      <c r="F82" s="44"/>
      <c r="G82" s="23"/>
      <c r="H82" s="23"/>
      <c r="I82" s="24"/>
      <c r="J82" s="23"/>
      <c r="L82" s="59" t="s">
        <v>129</v>
      </c>
      <c r="M82" s="23"/>
      <c r="N82" s="56"/>
      <c r="O82" s="23"/>
    </row>
    <row r="83" spans="3:15" ht="14.4">
      <c r="C83" s="60"/>
      <c r="D83" s="57"/>
      <c r="E83" s="58"/>
      <c r="F83" s="44"/>
      <c r="G83" s="23"/>
      <c r="H83" s="23"/>
      <c r="I83" s="24"/>
      <c r="J83" s="23"/>
      <c r="L83" s="47"/>
      <c r="M83" s="23"/>
      <c r="N83" s="56"/>
      <c r="O83" s="23"/>
    </row>
    <row r="84" spans="3:15" ht="14.4">
      <c r="C84" s="65" t="s">
        <v>168</v>
      </c>
      <c r="D84" s="43" t="s">
        <v>92</v>
      </c>
      <c r="E84" s="43"/>
      <c r="F84"/>
      <c r="G84"/>
      <c r="H84"/>
      <c r="I84"/>
      <c r="L84" s="46"/>
    </row>
    <row r="85" spans="3:15" ht="14.4">
      <c r="C85" s="60" t="s">
        <v>169</v>
      </c>
      <c r="D85" s="42" t="s">
        <v>291</v>
      </c>
      <c r="E85" s="42"/>
      <c r="F85" s="44">
        <f>IF('ENCODAGE DE MON PROJET'!E51="OUI",0,SUM(E86))</f>
        <v>0</v>
      </c>
      <c r="G85" s="23" t="s">
        <v>11</v>
      </c>
      <c r="H85" s="23" t="s">
        <v>7</v>
      </c>
      <c r="I85" s="24">
        <v>120</v>
      </c>
      <c r="J85" s="23" t="s">
        <v>4</v>
      </c>
      <c r="K85" s="1" t="s">
        <v>8</v>
      </c>
      <c r="L85" s="47">
        <f>I85*F85</f>
        <v>0</v>
      </c>
      <c r="M85" s="23" t="s">
        <v>4</v>
      </c>
      <c r="N85" s="56"/>
      <c r="O85" s="23"/>
    </row>
    <row r="86" spans="3:15" ht="14.4">
      <c r="C86" s="60"/>
      <c r="D86" s="57" t="s">
        <v>16</v>
      </c>
      <c r="E86" s="58">
        <f>IF('ENCODAGE DE MON PROJET'!E62="OUI", 'ENCODAGE DE MON PROJET'!E64,0)</f>
        <v>0</v>
      </c>
      <c r="F86" s="44"/>
      <c r="G86" s="23"/>
      <c r="H86" s="23"/>
      <c r="I86" s="24"/>
      <c r="J86" s="23"/>
      <c r="L86" s="47"/>
      <c r="M86" s="23"/>
      <c r="N86" s="56"/>
      <c r="O86" s="23"/>
    </row>
    <row r="87" spans="3:15" ht="14.4">
      <c r="C87" s="60" t="s">
        <v>170</v>
      </c>
      <c r="D87" s="42" t="s">
        <v>292</v>
      </c>
      <c r="E87" s="42"/>
      <c r="F87" s="44">
        <f>IF('ENCODAGE DE MON PROJET'!E51="NON",0,SUM(E88))</f>
        <v>0</v>
      </c>
      <c r="G87" s="23" t="s">
        <v>11</v>
      </c>
      <c r="H87" s="23" t="s">
        <v>7</v>
      </c>
      <c r="I87" s="24">
        <v>163</v>
      </c>
      <c r="J87" s="23" t="s">
        <v>4</v>
      </c>
      <c r="K87" s="1" t="s">
        <v>8</v>
      </c>
      <c r="L87" s="47">
        <f>I87*F87</f>
        <v>0</v>
      </c>
      <c r="M87" s="23" t="s">
        <v>4</v>
      </c>
      <c r="N87" s="56"/>
      <c r="O87" s="23"/>
    </row>
    <row r="88" spans="3:15" ht="14.4">
      <c r="C88" s="60"/>
      <c r="D88" s="57" t="s">
        <v>16</v>
      </c>
      <c r="E88" s="58">
        <f>E86</f>
        <v>0</v>
      </c>
      <c r="F88" s="44"/>
      <c r="G88" s="23"/>
      <c r="H88" s="23"/>
      <c r="I88" s="24"/>
      <c r="J88" s="23"/>
      <c r="L88" s="47"/>
      <c r="M88" s="23"/>
      <c r="N88" s="56"/>
      <c r="O88" s="23"/>
    </row>
    <row r="89" spans="3:15" ht="14.4">
      <c r="C89" s="60" t="s">
        <v>171</v>
      </c>
      <c r="D89" s="42" t="s">
        <v>93</v>
      </c>
      <c r="E89" s="42"/>
      <c r="F89" s="44">
        <f>IF('ENCODAGE DE MON PROJET'!E51="OUI",0,SUM(E90))</f>
        <v>0</v>
      </c>
      <c r="G89" s="23" t="s">
        <v>11</v>
      </c>
      <c r="H89" s="23" t="s">
        <v>7</v>
      </c>
      <c r="I89" s="24">
        <v>120</v>
      </c>
      <c r="J89" s="23" t="s">
        <v>4</v>
      </c>
      <c r="K89" s="1" t="s">
        <v>8</v>
      </c>
      <c r="L89" s="47">
        <f>I89*F89</f>
        <v>0</v>
      </c>
      <c r="M89" s="23" t="s">
        <v>4</v>
      </c>
      <c r="N89" s="56"/>
      <c r="O89" s="23"/>
    </row>
    <row r="90" spans="3:15" ht="14.4">
      <c r="C90" s="60"/>
      <c r="D90" s="57" t="s">
        <v>16</v>
      </c>
      <c r="E90" s="58">
        <f>IF('ENCODAGE DE MON PROJET'!E61="OUI", 'ENCODAGE DE MON PROJET'!E64, 0)</f>
        <v>0</v>
      </c>
      <c r="F90" s="44"/>
      <c r="G90" s="23"/>
      <c r="H90" s="23"/>
      <c r="I90" s="24"/>
      <c r="J90" s="23"/>
      <c r="L90" s="47"/>
      <c r="M90" s="23"/>
      <c r="N90" s="56"/>
      <c r="O90" s="23"/>
    </row>
    <row r="91" spans="3:15" ht="14.4">
      <c r="C91" s="60" t="s">
        <v>172</v>
      </c>
      <c r="D91" s="42" t="s">
        <v>94</v>
      </c>
      <c r="E91" s="42"/>
      <c r="F91" s="44">
        <f>IF('ENCODAGE DE MON PROJET'!E51="NON",0,SUM(E92))</f>
        <v>0</v>
      </c>
      <c r="G91" s="23" t="s">
        <v>11</v>
      </c>
      <c r="H91" s="23" t="s">
        <v>7</v>
      </c>
      <c r="I91" s="24">
        <v>163</v>
      </c>
      <c r="J91" s="23" t="s">
        <v>4</v>
      </c>
      <c r="K91" s="1" t="s">
        <v>8</v>
      </c>
      <c r="L91" s="47">
        <f>I91*F91</f>
        <v>0</v>
      </c>
      <c r="M91" s="23" t="s">
        <v>4</v>
      </c>
      <c r="N91" s="56"/>
      <c r="O91" s="23"/>
    </row>
    <row r="92" spans="3:15" ht="14.4">
      <c r="C92" s="60"/>
      <c r="D92" s="57" t="s">
        <v>16</v>
      </c>
      <c r="E92" s="58">
        <f>E90</f>
        <v>0</v>
      </c>
      <c r="F92" s="44"/>
      <c r="G92" s="23"/>
      <c r="H92" s="23"/>
      <c r="I92" s="24"/>
      <c r="J92" s="23"/>
      <c r="L92" s="47"/>
      <c r="M92" s="23"/>
      <c r="N92" s="56"/>
      <c r="O92" s="23"/>
    </row>
    <row r="93" spans="3:15" ht="14.4">
      <c r="C93" s="60" t="s">
        <v>173</v>
      </c>
      <c r="D93" s="42" t="s">
        <v>95</v>
      </c>
      <c r="E93" s="42"/>
      <c r="F93" s="44">
        <f>IF(OR('ENCODAGE DE MON PROJET'!E61="OUI",'ENCODAGE DE MON PROJET'!E62="OUI"),'ENCODAGE DE MON PROJET'!E64,0)</f>
        <v>0</v>
      </c>
      <c r="G93" s="23" t="s">
        <v>11</v>
      </c>
      <c r="H93" s="23" t="s">
        <v>7</v>
      </c>
      <c r="I93" s="24">
        <v>16</v>
      </c>
      <c r="J93" s="23" t="s">
        <v>4</v>
      </c>
      <c r="K93" s="1" t="s">
        <v>8</v>
      </c>
      <c r="L93" s="47">
        <f>I93*F93</f>
        <v>0</v>
      </c>
      <c r="M93" s="23" t="s">
        <v>4</v>
      </c>
      <c r="N93" s="56"/>
      <c r="O93" s="23"/>
    </row>
    <row r="94" spans="3:15" ht="14.4">
      <c r="C94" s="60" t="s">
        <v>174</v>
      </c>
      <c r="D94" s="42" t="s">
        <v>230</v>
      </c>
      <c r="E94" s="42"/>
      <c r="F94" s="44">
        <f>E90</f>
        <v>0</v>
      </c>
      <c r="G94" s="23" t="s">
        <v>11</v>
      </c>
      <c r="H94" s="23" t="s">
        <v>7</v>
      </c>
      <c r="I94" s="24">
        <v>180</v>
      </c>
      <c r="J94" s="23" t="s">
        <v>4</v>
      </c>
      <c r="K94" s="1" t="s">
        <v>8</v>
      </c>
      <c r="L94" s="47">
        <f>I94*F94</f>
        <v>0</v>
      </c>
      <c r="M94" s="23" t="s">
        <v>4</v>
      </c>
      <c r="N94" s="56"/>
      <c r="O94" s="23"/>
    </row>
    <row r="95" spans="3:15" ht="14.4">
      <c r="C95" s="60" t="s">
        <v>175</v>
      </c>
      <c r="D95" s="42" t="s">
        <v>98</v>
      </c>
      <c r="E95" s="42"/>
      <c r="F95" s="44">
        <f>IF('ENCODAGE DE MON PROJET'!E63="NON",0,SUM(E96))</f>
        <v>0</v>
      </c>
      <c r="G95" s="23" t="s">
        <v>23</v>
      </c>
      <c r="H95" s="23" t="s">
        <v>7</v>
      </c>
      <c r="I95" s="24">
        <v>45</v>
      </c>
      <c r="J95" s="23" t="s">
        <v>4</v>
      </c>
      <c r="K95" s="1" t="s">
        <v>8</v>
      </c>
      <c r="L95" s="47">
        <f>I95*F95</f>
        <v>0</v>
      </c>
      <c r="M95" s="23" t="s">
        <v>4</v>
      </c>
      <c r="N95" s="56"/>
      <c r="O95" s="23"/>
    </row>
    <row r="96" spans="3:15" ht="14.4">
      <c r="C96" s="60"/>
      <c r="D96" s="57" t="s">
        <v>99</v>
      </c>
      <c r="E96" s="58" t="e">
        <f>('ENCODAGE DE MON PROJET'!E18/0.4)*(E90/'ENCODAGE DE MON PROJET'!E18)</f>
        <v>#DIV/0!</v>
      </c>
      <c r="F96" s="44"/>
      <c r="G96" s="23"/>
      <c r="H96" s="23"/>
      <c r="I96" s="24"/>
      <c r="J96" s="23"/>
      <c r="L96" s="47"/>
      <c r="M96" s="23"/>
      <c r="N96" s="56"/>
      <c r="O96" s="23"/>
    </row>
    <row r="97" spans="3:15" ht="14.4">
      <c r="C97" s="60" t="s">
        <v>176</v>
      </c>
      <c r="D97" s="42" t="s">
        <v>107</v>
      </c>
      <c r="E97" s="42"/>
      <c r="F97" s="22">
        <f>IF('ENCODAGE DE MON PROJET'!E61="OUI",1,0)</f>
        <v>0</v>
      </c>
      <c r="G97" s="23" t="s">
        <v>0</v>
      </c>
      <c r="H97" s="23" t="s">
        <v>7</v>
      </c>
      <c r="I97" s="24">
        <v>500</v>
      </c>
      <c r="J97" s="23" t="s">
        <v>4</v>
      </c>
      <c r="K97" s="1" t="s">
        <v>8</v>
      </c>
      <c r="L97" s="47">
        <f>I97*F97</f>
        <v>0</v>
      </c>
      <c r="M97" s="23" t="s">
        <v>4</v>
      </c>
      <c r="N97" s="56"/>
      <c r="O97" s="23"/>
    </row>
    <row r="98" spans="3:15" ht="14.4">
      <c r="C98" s="60" t="s">
        <v>177</v>
      </c>
      <c r="D98" s="42" t="s">
        <v>233</v>
      </c>
      <c r="E98" s="42"/>
      <c r="F98" s="44">
        <f>SUM(E99:E100)</f>
        <v>0</v>
      </c>
      <c r="G98" s="23" t="s">
        <v>23</v>
      </c>
      <c r="H98" s="23" t="s">
        <v>7</v>
      </c>
      <c r="I98" s="24">
        <v>80</v>
      </c>
      <c r="J98" s="23" t="s">
        <v>4</v>
      </c>
      <c r="K98" s="1" t="s">
        <v>8</v>
      </c>
      <c r="L98" s="47">
        <f>I98*F98</f>
        <v>0</v>
      </c>
      <c r="M98" s="23" t="s">
        <v>4</v>
      </c>
      <c r="N98" s="56"/>
      <c r="O98" s="23"/>
    </row>
    <row r="99" spans="3:15" ht="14.4">
      <c r="C99" s="60"/>
      <c r="D99" s="57" t="s">
        <v>52</v>
      </c>
      <c r="E99" s="58">
        <f>IF('ENCODAGE DE MON PROJET'!E61="NON", 0, 'ENCODAGE DE MON PROJET'!E17)</f>
        <v>0</v>
      </c>
      <c r="F99" s="44"/>
      <c r="G99" s="23"/>
      <c r="H99" s="23"/>
      <c r="I99" s="24"/>
      <c r="J99" s="23"/>
      <c r="L99" s="47"/>
      <c r="M99" s="23"/>
      <c r="N99" s="56"/>
      <c r="O99" s="23"/>
    </row>
    <row r="100" spans="3:15" ht="14.4">
      <c r="C100" s="60"/>
      <c r="D100" s="57" t="s">
        <v>53</v>
      </c>
      <c r="E100" s="58">
        <f>IF('ENCODAGE DE MON PROJET'!E61="NON",0,'ENCODAGE DE MON PROJET'!E17-'ENCODAGE DE MON PROJET'!E23)</f>
        <v>0</v>
      </c>
      <c r="F100" s="44"/>
      <c r="G100" s="23"/>
      <c r="H100" s="23"/>
      <c r="I100" s="24"/>
      <c r="J100" s="23"/>
      <c r="L100" s="47"/>
      <c r="M100" s="23"/>
      <c r="N100" s="56"/>
      <c r="O100" s="23"/>
    </row>
    <row r="101" spans="3:15" ht="14.4">
      <c r="C101" s="60" t="s">
        <v>178</v>
      </c>
      <c r="D101" s="42" t="s">
        <v>130</v>
      </c>
      <c r="E101" s="42"/>
      <c r="F101" s="44">
        <f>IF('ENCODAGE DE MON PROJET'!E61="OUI",2*'ENCODAGE DE MON PROJET'!E18,0)</f>
        <v>0</v>
      </c>
      <c r="G101" s="23" t="s">
        <v>23</v>
      </c>
      <c r="H101" s="23" t="s">
        <v>7</v>
      </c>
      <c r="I101" s="24">
        <v>305</v>
      </c>
      <c r="J101" s="23" t="s">
        <v>4</v>
      </c>
      <c r="K101" s="1" t="s">
        <v>8</v>
      </c>
      <c r="L101" s="47">
        <f>I101*F101</f>
        <v>0</v>
      </c>
      <c r="M101" s="23" t="s">
        <v>4</v>
      </c>
      <c r="N101" s="56"/>
      <c r="O101" s="23"/>
    </row>
    <row r="102" spans="3:15" ht="14.4">
      <c r="C102" s="60" t="s">
        <v>179</v>
      </c>
      <c r="D102" s="42" t="s">
        <v>108</v>
      </c>
      <c r="E102" s="42"/>
      <c r="F102" s="22">
        <f>IF('ENCODAGE DE MON PROJET'!E18,IF('ENCODAGE DE MON PROJET'!E61="OUI",E90/'ENCODAGE DE MON PROJET'!E18,0),0)</f>
        <v>0</v>
      </c>
      <c r="G102" s="23" t="s">
        <v>23</v>
      </c>
      <c r="H102" s="23" t="s">
        <v>7</v>
      </c>
      <c r="I102" s="24">
        <v>53</v>
      </c>
      <c r="J102" s="23" t="s">
        <v>4</v>
      </c>
      <c r="K102" s="1" t="s">
        <v>8</v>
      </c>
      <c r="L102" s="47">
        <f>I102*F102</f>
        <v>0</v>
      </c>
      <c r="M102" s="23" t="s">
        <v>4</v>
      </c>
      <c r="N102" s="56"/>
      <c r="O102" s="23"/>
    </row>
    <row r="103" spans="3:15" ht="14.4">
      <c r="C103" s="60" t="s">
        <v>180</v>
      </c>
      <c r="D103" s="42" t="s">
        <v>109</v>
      </c>
      <c r="E103" s="42"/>
      <c r="F103" s="22">
        <f>IF('ENCODAGE DE MON PROJET'!E18,IF('ENCODAGE DE MON PROJET'!E61="OUI",E90/'ENCODAGE DE MON PROJET'!E18,0),0)</f>
        <v>0</v>
      </c>
      <c r="G103" s="23" t="s">
        <v>23</v>
      </c>
      <c r="H103" s="23" t="s">
        <v>7</v>
      </c>
      <c r="I103" s="24">
        <v>89</v>
      </c>
      <c r="J103" s="23" t="s">
        <v>4</v>
      </c>
      <c r="K103" s="1" t="s">
        <v>8</v>
      </c>
      <c r="L103" s="47">
        <f>I103*F103</f>
        <v>0</v>
      </c>
      <c r="M103" s="23" t="s">
        <v>4</v>
      </c>
      <c r="N103" s="56"/>
      <c r="O103" s="23"/>
    </row>
    <row r="104" spans="3:15" ht="14.4">
      <c r="C104" s="60"/>
      <c r="D104" s="57"/>
      <c r="E104" s="58"/>
      <c r="F104" s="44"/>
      <c r="G104" s="23"/>
      <c r="H104" s="23"/>
      <c r="I104" s="24"/>
      <c r="J104" s="23"/>
      <c r="L104" s="47"/>
      <c r="M104" s="23"/>
      <c r="N104" s="56"/>
      <c r="O104" s="23"/>
    </row>
    <row r="105" spans="3:15" ht="14.4">
      <c r="C105" s="65" t="s">
        <v>181</v>
      </c>
      <c r="D105" s="43" t="s">
        <v>100</v>
      </c>
      <c r="E105" s="43"/>
      <c r="F105"/>
      <c r="G105"/>
      <c r="H105"/>
      <c r="I105"/>
      <c r="L105" s="46"/>
    </row>
    <row r="106" spans="3:15" ht="14.4">
      <c r="C106" s="60" t="s">
        <v>182</v>
      </c>
      <c r="D106" s="42" t="s">
        <v>101</v>
      </c>
      <c r="E106" s="42"/>
      <c r="F106" s="44">
        <f>IF('ENCODAGE DE MON PROJET'!E51="OUI",0,SUM(E107:E108))</f>
        <v>0</v>
      </c>
      <c r="G106" s="23" t="s">
        <v>11</v>
      </c>
      <c r="H106" s="23" t="s">
        <v>7</v>
      </c>
      <c r="I106" s="24">
        <v>84</v>
      </c>
      <c r="J106" s="23" t="s">
        <v>4</v>
      </c>
      <c r="K106" s="1" t="s">
        <v>8</v>
      </c>
      <c r="L106" s="47">
        <f>I106*F106</f>
        <v>0</v>
      </c>
      <c r="M106" s="23" t="s">
        <v>4</v>
      </c>
      <c r="N106" s="56"/>
      <c r="O106" s="23"/>
    </row>
    <row r="107" spans="3:15" ht="14.4">
      <c r="C107" s="60"/>
      <c r="D107" s="57" t="s">
        <v>16</v>
      </c>
      <c r="E107" s="58">
        <f>IF('ENCODAGE DE MON PROJET'!E84="OUI", 'ENCODAGE DE MON PROJET'!E85, 0)</f>
        <v>0</v>
      </c>
      <c r="F107" s="44"/>
      <c r="G107" s="23"/>
      <c r="H107" s="23"/>
      <c r="I107" s="24"/>
      <c r="J107" s="23"/>
      <c r="L107" s="47"/>
      <c r="M107" s="23"/>
      <c r="N107" s="56"/>
      <c r="O107" s="23"/>
    </row>
    <row r="108" spans="3:15" ht="14.4">
      <c r="C108" s="60"/>
      <c r="D108" s="57" t="s">
        <v>55</v>
      </c>
      <c r="E108" s="58">
        <f>IF('ENCODAGE DE MON PROJET'!E103="OUI", 'ENCODAGE DE MON PROJET'!E104, 0)</f>
        <v>0</v>
      </c>
      <c r="F108" s="44"/>
      <c r="G108" s="23"/>
      <c r="H108" s="23"/>
      <c r="I108" s="24"/>
      <c r="J108" s="23"/>
      <c r="L108" s="47"/>
      <c r="M108" s="23"/>
      <c r="N108" s="56"/>
      <c r="O108" s="23"/>
    </row>
    <row r="109" spans="3:15" ht="14.4">
      <c r="C109" s="60" t="s">
        <v>183</v>
      </c>
      <c r="D109" s="42" t="s">
        <v>102</v>
      </c>
      <c r="E109" s="42"/>
      <c r="F109" s="44">
        <f>IF('ENCODAGE DE MON PROJET'!E51="NON",0,SUM(E110:E111))</f>
        <v>0</v>
      </c>
      <c r="G109" s="23" t="s">
        <v>11</v>
      </c>
      <c r="H109" s="23" t="s">
        <v>7</v>
      </c>
      <c r="I109" s="24">
        <v>135</v>
      </c>
      <c r="J109" s="23" t="s">
        <v>4</v>
      </c>
      <c r="K109" s="1" t="s">
        <v>8</v>
      </c>
      <c r="L109" s="47">
        <f>I109*F109</f>
        <v>0</v>
      </c>
      <c r="M109" s="23" t="s">
        <v>4</v>
      </c>
      <c r="N109" s="56"/>
      <c r="O109" s="23"/>
    </row>
    <row r="110" spans="3:15" ht="14.4">
      <c r="C110" s="60"/>
      <c r="D110" s="57" t="s">
        <v>16</v>
      </c>
      <c r="E110" s="58">
        <f>E107</f>
        <v>0</v>
      </c>
      <c r="F110" s="44"/>
      <c r="G110" s="23"/>
      <c r="H110" s="23"/>
      <c r="I110" s="24"/>
      <c r="J110" s="23"/>
      <c r="L110" s="47"/>
      <c r="M110" s="23"/>
      <c r="N110" s="56"/>
      <c r="O110" s="23"/>
    </row>
    <row r="111" spans="3:15" ht="14.4">
      <c r="C111" s="60"/>
      <c r="D111" s="57" t="s">
        <v>55</v>
      </c>
      <c r="E111" s="58">
        <f>E108</f>
        <v>0</v>
      </c>
      <c r="F111" s="44"/>
      <c r="G111" s="23"/>
      <c r="H111" s="23"/>
      <c r="I111" s="24"/>
      <c r="J111" s="23"/>
      <c r="L111" s="47"/>
      <c r="M111" s="23"/>
      <c r="N111" s="56"/>
      <c r="O111" s="23"/>
    </row>
    <row r="112" spans="3:15" ht="14.4">
      <c r="C112" s="60" t="s">
        <v>184</v>
      </c>
      <c r="D112" s="42" t="s">
        <v>103</v>
      </c>
      <c r="E112" s="42"/>
      <c r="F112" s="44">
        <f>SUM(E113:E114)</f>
        <v>0</v>
      </c>
      <c r="G112" s="23" t="s">
        <v>11</v>
      </c>
      <c r="H112" s="23" t="s">
        <v>7</v>
      </c>
      <c r="I112" s="24">
        <v>74</v>
      </c>
      <c r="J112" s="23" t="s">
        <v>4</v>
      </c>
      <c r="K112" s="1" t="s">
        <v>8</v>
      </c>
      <c r="L112" s="47">
        <f>I112*F112</f>
        <v>0</v>
      </c>
      <c r="M112" s="23" t="s">
        <v>4</v>
      </c>
      <c r="N112" s="56"/>
      <c r="O112" s="23"/>
    </row>
    <row r="113" spans="3:15" ht="14.4">
      <c r="C113" s="60"/>
      <c r="D113" s="57" t="s">
        <v>16</v>
      </c>
      <c r="E113" s="58">
        <f>E107</f>
        <v>0</v>
      </c>
      <c r="F113" s="44"/>
      <c r="G113" s="23"/>
      <c r="H113" s="23"/>
      <c r="I113" s="24"/>
      <c r="J113" s="23"/>
      <c r="L113" s="47"/>
      <c r="M113" s="23"/>
      <c r="N113" s="56"/>
      <c r="O113" s="23"/>
    </row>
    <row r="114" spans="3:15" ht="14.4">
      <c r="C114" s="60"/>
      <c r="D114" s="57" t="s">
        <v>55</v>
      </c>
      <c r="E114" s="58">
        <f>E108</f>
        <v>0</v>
      </c>
      <c r="F114" s="44"/>
      <c r="G114" s="23"/>
      <c r="H114" s="23"/>
      <c r="I114" s="24"/>
      <c r="J114" s="23"/>
      <c r="L114" s="47"/>
      <c r="M114" s="23"/>
      <c r="N114" s="56"/>
      <c r="O114" s="23"/>
    </row>
    <row r="115" spans="3:15" ht="14.4">
      <c r="C115" s="60" t="s">
        <v>185</v>
      </c>
      <c r="D115" s="42" t="s">
        <v>107</v>
      </c>
      <c r="E115" s="42"/>
      <c r="F115" s="22">
        <f>IF(AND('ENCODAGE DE MON PROJET'!E84="NON",'ENCODAGE DE MON PROJET'!E103="NON"),0,1)</f>
        <v>0</v>
      </c>
      <c r="G115" s="23" t="s">
        <v>0</v>
      </c>
      <c r="H115" s="23" t="s">
        <v>7</v>
      </c>
      <c r="I115" s="24">
        <f>IF(AND('ENCODAGE DE MON PROJET'!E84="OUI",'ENCODAGE DE MON PROJET'!E103="OUI"),750,IF('ENCODAGE DE MON PROJET'!E84="OUI",500,IF('ENCODAGE DE MON PROJET'!E103="OUI",250,0)))</f>
        <v>0</v>
      </c>
      <c r="J115" s="23" t="s">
        <v>4</v>
      </c>
      <c r="K115" s="1" t="s">
        <v>8</v>
      </c>
      <c r="L115" s="47">
        <f>I115*F115</f>
        <v>0</v>
      </c>
      <c r="M115" s="23" t="s">
        <v>4</v>
      </c>
      <c r="N115" s="56"/>
      <c r="O115" s="23"/>
    </row>
    <row r="116" spans="3:15" ht="14.4">
      <c r="C116" s="60" t="s">
        <v>186</v>
      </c>
      <c r="D116" s="42" t="s">
        <v>233</v>
      </c>
      <c r="E116" s="42"/>
      <c r="F116" s="44">
        <f>SUM(E117:E119)</f>
        <v>0</v>
      </c>
      <c r="G116" s="23" t="s">
        <v>23</v>
      </c>
      <c r="H116" s="23" t="s">
        <v>7</v>
      </c>
      <c r="I116" s="24">
        <v>80</v>
      </c>
      <c r="J116" s="23" t="s">
        <v>4</v>
      </c>
      <c r="K116" s="1" t="s">
        <v>8</v>
      </c>
      <c r="L116" s="47">
        <f>I116*F116</f>
        <v>0</v>
      </c>
      <c r="M116" s="23" t="s">
        <v>4</v>
      </c>
      <c r="N116" s="56"/>
      <c r="O116" s="23"/>
    </row>
    <row r="117" spans="3:15" ht="14.4">
      <c r="C117" s="60"/>
      <c r="D117" s="57" t="s">
        <v>52</v>
      </c>
      <c r="E117" s="58">
        <f>IF('ENCODAGE DE MON PROJET'!E84="NON", 0, 'ENCODAGE DE MON PROJET'!E17)</f>
        <v>0</v>
      </c>
      <c r="F117" s="44"/>
      <c r="G117" s="23"/>
      <c r="H117" s="23"/>
      <c r="I117" s="24"/>
      <c r="J117" s="23"/>
      <c r="L117" s="47"/>
      <c r="M117" s="23"/>
      <c r="N117" s="56"/>
      <c r="O117" s="23"/>
    </row>
    <row r="118" spans="3:15" ht="14.4">
      <c r="C118" s="60"/>
      <c r="D118" s="57" t="s">
        <v>53</v>
      </c>
      <c r="E118" s="58">
        <f>IF('ENCODAGE DE MON PROJET'!E84="NON",0,'ENCODAGE DE MON PROJET'!E17-'ENCODAGE DE MON PROJET'!E23)</f>
        <v>0</v>
      </c>
      <c r="F118" s="44"/>
      <c r="G118" s="23"/>
      <c r="H118" s="23"/>
      <c r="I118" s="24"/>
      <c r="J118" s="23"/>
      <c r="L118" s="47"/>
      <c r="M118" s="23"/>
      <c r="N118" s="56"/>
      <c r="O118" s="23"/>
    </row>
    <row r="119" spans="3:15" ht="14.4">
      <c r="C119" s="60"/>
      <c r="D119" s="57" t="s">
        <v>54</v>
      </c>
      <c r="E119" s="58">
        <f>IF('ENCODAGE DE MON PROJET'!E103="NON",0,'ENCODAGE DE MON PROJET'!E23)</f>
        <v>0</v>
      </c>
      <c r="F119" s="44"/>
      <c r="G119" s="23"/>
      <c r="H119" s="23"/>
      <c r="I119" s="24"/>
      <c r="J119" s="23"/>
      <c r="L119" s="47"/>
      <c r="M119" s="23"/>
      <c r="N119" s="56"/>
      <c r="O119" s="23"/>
    </row>
    <row r="120" spans="3:15" ht="14.4">
      <c r="C120" s="60" t="s">
        <v>187</v>
      </c>
      <c r="D120" s="42" t="s">
        <v>289</v>
      </c>
      <c r="E120" s="42"/>
      <c r="F120" s="44">
        <f>IF(AND('ENCODAGE DE MON PROJET'!E84="NON",'ENCODAGE DE MON PROJET'!E103="NON"),0,2*'ENCODAGE DE MON PROJET'!E18)</f>
        <v>0</v>
      </c>
      <c r="G120" s="23" t="s">
        <v>23</v>
      </c>
      <c r="H120" s="23" t="s">
        <v>7</v>
      </c>
      <c r="I120" s="24">
        <v>305</v>
      </c>
      <c r="J120" s="23" t="s">
        <v>4</v>
      </c>
      <c r="K120" s="1" t="s">
        <v>8</v>
      </c>
      <c r="L120" s="47">
        <f>I120*F120</f>
        <v>0</v>
      </c>
      <c r="M120" s="23" t="s">
        <v>4</v>
      </c>
      <c r="N120" s="56"/>
      <c r="O120" s="23"/>
    </row>
    <row r="121" spans="3:15" ht="14.4">
      <c r="C121" s="60"/>
      <c r="D121" s="57" t="s">
        <v>16</v>
      </c>
      <c r="E121" s="58">
        <f>IF('ENCODAGE DE MON PROJET'!E84="NON",0,2*'ENCODAGE DE MON PROJET'!E18)</f>
        <v>0</v>
      </c>
      <c r="F121" s="44"/>
      <c r="G121" s="23"/>
      <c r="H121" s="23"/>
      <c r="I121" s="24"/>
      <c r="J121" s="23"/>
      <c r="L121" s="47"/>
      <c r="M121" s="23"/>
      <c r="N121" s="56"/>
      <c r="O121" s="23"/>
    </row>
    <row r="122" spans="3:15" ht="14.4">
      <c r="C122" s="60"/>
      <c r="D122" s="57" t="s">
        <v>55</v>
      </c>
      <c r="E122" s="58">
        <f>IF('ENCODAGE DE MON PROJET'!E103="OUI",IF('ENCODAGE DE MON PROJET'!E18&gt;'ENCODAGE DE MON PROJET'!E24,'ENCODAGE DE MON PROJET'!E24+'ENCODAGE DE MON PROJET'!E25,'ENCODAGE DE MON PROJET'!E18),0)</f>
        <v>0</v>
      </c>
      <c r="F122" s="44"/>
      <c r="G122" s="23"/>
      <c r="H122" s="23"/>
      <c r="I122" s="24"/>
      <c r="J122" s="23"/>
      <c r="L122" s="47"/>
      <c r="M122" s="23"/>
      <c r="N122" s="56"/>
      <c r="O122" s="23"/>
    </row>
    <row r="123" spans="3:15" ht="14.4">
      <c r="C123" s="60" t="s">
        <v>188</v>
      </c>
      <c r="D123" s="42" t="s">
        <v>108</v>
      </c>
      <c r="E123" s="42"/>
      <c r="F123" s="44">
        <f>SUM(E124:E125)</f>
        <v>0</v>
      </c>
      <c r="G123" s="23" t="s">
        <v>23</v>
      </c>
      <c r="H123" s="23" t="s">
        <v>7</v>
      </c>
      <c r="I123" s="24">
        <v>53</v>
      </c>
      <c r="J123" s="23" t="s">
        <v>4</v>
      </c>
      <c r="K123" s="1" t="s">
        <v>8</v>
      </c>
      <c r="L123" s="47">
        <f>I123*F123</f>
        <v>0</v>
      </c>
      <c r="M123" s="23" t="s">
        <v>4</v>
      </c>
      <c r="N123" s="56"/>
      <c r="O123" s="23"/>
    </row>
    <row r="124" spans="3:15" ht="14.4">
      <c r="C124" s="60"/>
      <c r="D124" s="57" t="s">
        <v>16</v>
      </c>
      <c r="E124" s="58">
        <f>IF('ENCODAGE DE MON PROJET'!E18,IF('ENCODAGE DE MON PROJET'!E84="OUI",E107/'ENCODAGE DE MON PROJET'!E18*2,0),0)</f>
        <v>0</v>
      </c>
      <c r="F124" s="44"/>
      <c r="G124" s="23"/>
      <c r="H124" s="23"/>
      <c r="I124" s="24"/>
      <c r="J124" s="23"/>
      <c r="L124" s="47"/>
      <c r="M124" s="23"/>
      <c r="N124" s="56"/>
      <c r="O124" s="23"/>
    </row>
    <row r="125" spans="3:15" ht="14.4">
      <c r="C125" s="60"/>
      <c r="D125" s="57" t="s">
        <v>55</v>
      </c>
      <c r="E125" s="58">
        <f>IF('ENCODAGE DE MON PROJET'!E103="OUI",IF('ENCODAGE DE MON PROJET'!E18&gt;'ENCODAGE DE MON PROJET'!E24,'ENCODAGE DE MON PROJET'!E25,'ENCODAGE DE MON PROJET'!E25*2),0)</f>
        <v>0</v>
      </c>
      <c r="F125" s="44"/>
      <c r="G125" s="23"/>
      <c r="H125" s="23"/>
      <c r="I125" s="24"/>
      <c r="J125" s="23"/>
      <c r="L125" s="47"/>
      <c r="M125" s="23"/>
      <c r="N125" s="56"/>
      <c r="O125" s="23"/>
    </row>
    <row r="126" spans="3:15" ht="14.4">
      <c r="C126" s="60" t="s">
        <v>189</v>
      </c>
      <c r="D126" s="42" t="s">
        <v>110</v>
      </c>
      <c r="E126" s="42"/>
      <c r="F126" s="44">
        <f>SUM(E127:E128)</f>
        <v>0</v>
      </c>
      <c r="G126" s="23" t="s">
        <v>23</v>
      </c>
      <c r="H126" s="23" t="s">
        <v>7</v>
      </c>
      <c r="I126" s="24">
        <v>84</v>
      </c>
      <c r="J126" s="23" t="s">
        <v>4</v>
      </c>
      <c r="K126" s="1" t="s">
        <v>8</v>
      </c>
      <c r="L126" s="47">
        <f>I126*F126</f>
        <v>0</v>
      </c>
      <c r="M126" s="23" t="s">
        <v>4</v>
      </c>
      <c r="N126" s="56"/>
      <c r="O126" s="23"/>
    </row>
    <row r="127" spans="3:15" ht="14.4">
      <c r="C127" s="60"/>
      <c r="D127" s="57" t="s">
        <v>16</v>
      </c>
      <c r="E127" s="58">
        <f>IF('ENCODAGE DE MON PROJET'!E18,IF('ENCODAGE DE MON PROJET'!E84="OUI",E107/'ENCODAGE DE MON PROJET'!E18*2,0),0)</f>
        <v>0</v>
      </c>
      <c r="F127" s="44"/>
      <c r="G127" s="23"/>
      <c r="H127" s="23"/>
      <c r="I127" s="24"/>
      <c r="J127" s="23"/>
      <c r="L127" s="47"/>
      <c r="M127" s="23"/>
      <c r="N127" s="56"/>
      <c r="O127" s="23"/>
    </row>
    <row r="128" spans="3:15" ht="14.4">
      <c r="C128" s="60"/>
      <c r="D128" s="57" t="s">
        <v>55</v>
      </c>
      <c r="E128" s="58">
        <f>IF('ENCODAGE DE MON PROJET'!E103="OUI",IF('ENCODAGE DE MON PROJET'!E18&gt;'ENCODAGE DE MON PROJET'!E24,'ENCODAGE DE MON PROJET'!E25,0),0)</f>
        <v>0</v>
      </c>
      <c r="F128" s="44"/>
      <c r="G128" s="23"/>
      <c r="H128" s="23"/>
      <c r="I128" s="24"/>
      <c r="J128" s="23"/>
      <c r="L128" s="47"/>
      <c r="M128" s="23"/>
      <c r="N128" s="56"/>
      <c r="O128" s="23"/>
    </row>
    <row r="129" spans="3:26">
      <c r="C129" s="60" t="s">
        <v>190</v>
      </c>
      <c r="D129" s="42" t="s">
        <v>112</v>
      </c>
      <c r="E129" s="42"/>
      <c r="F129" s="23"/>
      <c r="G129" s="23"/>
      <c r="H129" s="23"/>
      <c r="I129" s="23"/>
      <c r="J129" s="23"/>
      <c r="L129" s="47" t="s">
        <v>6</v>
      </c>
      <c r="M129" s="23"/>
      <c r="N129" s="56"/>
      <c r="O129" s="23"/>
    </row>
    <row r="130" spans="3:26" ht="14.4">
      <c r="C130" s="60"/>
      <c r="D130" s="57"/>
      <c r="E130" s="58"/>
      <c r="F130" s="44"/>
      <c r="G130" s="23"/>
      <c r="H130" s="23"/>
      <c r="I130" s="24"/>
      <c r="J130" s="23"/>
      <c r="L130" s="47"/>
      <c r="M130" s="23"/>
      <c r="N130" s="56"/>
      <c r="O130" s="23"/>
    </row>
    <row r="131" spans="3:26" ht="14.4">
      <c r="C131" s="65" t="s">
        <v>191</v>
      </c>
      <c r="D131" s="43" t="s">
        <v>111</v>
      </c>
      <c r="E131" s="43"/>
      <c r="F131"/>
      <c r="G131"/>
      <c r="H131"/>
      <c r="I131"/>
      <c r="L131" s="46"/>
    </row>
    <row r="132" spans="3:26" ht="14.4">
      <c r="C132" s="60" t="s">
        <v>192</v>
      </c>
      <c r="D132" s="42" t="s">
        <v>131</v>
      </c>
      <c r="E132" s="42"/>
      <c r="F132" s="22">
        <f>IF('ENCODAGE DE MON PROJET'!E251="NON", 0, 'ENCODAGE DE MON PROJET'!E256)</f>
        <v>0</v>
      </c>
      <c r="G132" s="23" t="s">
        <v>11</v>
      </c>
      <c r="H132" s="23" t="s">
        <v>7</v>
      </c>
      <c r="I132" s="24">
        <v>750</v>
      </c>
      <c r="J132" s="23" t="s">
        <v>4</v>
      </c>
      <c r="K132" s="1" t="s">
        <v>8</v>
      </c>
      <c r="L132" s="47">
        <f t="shared" ref="L132:L140" si="1">I132*F132</f>
        <v>0</v>
      </c>
      <c r="M132" s="23" t="s">
        <v>4</v>
      </c>
      <c r="N132" s="56"/>
      <c r="O132" s="23"/>
    </row>
    <row r="133" spans="3:26" ht="14.4">
      <c r="C133" s="60" t="s">
        <v>193</v>
      </c>
      <c r="D133" s="108" t="s">
        <v>273</v>
      </c>
      <c r="E133" s="42"/>
      <c r="F133" s="22">
        <f>IF(AND('ENCODAGE DE MON PROJET'!E251="OUI",'ENCODAGE DE MON PROJET'!E252="triple vitrage"),F132,0)</f>
        <v>0</v>
      </c>
      <c r="G133" s="23" t="s">
        <v>11</v>
      </c>
      <c r="H133" s="23" t="s">
        <v>7</v>
      </c>
      <c r="I133" s="24">
        <v>140</v>
      </c>
      <c r="J133" s="23" t="s">
        <v>4</v>
      </c>
      <c r="K133" s="1" t="s">
        <v>8</v>
      </c>
      <c r="L133" s="47">
        <f t="shared" si="1"/>
        <v>0</v>
      </c>
      <c r="M133" s="23" t="s">
        <v>4</v>
      </c>
      <c r="N133" s="56"/>
      <c r="O133" s="23"/>
    </row>
    <row r="134" spans="3:26" ht="14.4">
      <c r="C134" s="60" t="s">
        <v>194</v>
      </c>
      <c r="D134" s="108" t="s">
        <v>245</v>
      </c>
      <c r="E134" s="42"/>
      <c r="F134" s="22">
        <f>IF(AND('ENCODAGE DE MON PROJET'!E251="OUI",'ENCODAGE DE MON PROJET'!E51="OUI"),F132,0)</f>
        <v>0</v>
      </c>
      <c r="G134" s="23" t="s">
        <v>11</v>
      </c>
      <c r="H134" s="23" t="s">
        <v>7</v>
      </c>
      <c r="I134" s="24">
        <v>100</v>
      </c>
      <c r="J134" s="23" t="s">
        <v>4</v>
      </c>
      <c r="K134" s="1" t="s">
        <v>8</v>
      </c>
      <c r="L134" s="47">
        <f t="shared" si="1"/>
        <v>0</v>
      </c>
      <c r="M134" s="23" t="s">
        <v>4</v>
      </c>
      <c r="N134" s="56"/>
      <c r="O134" s="23"/>
    </row>
    <row r="135" spans="3:26" ht="14.4">
      <c r="C135" s="60" t="s">
        <v>195</v>
      </c>
      <c r="D135" s="42" t="s">
        <v>36</v>
      </c>
      <c r="E135" s="42"/>
      <c r="F135" s="22">
        <f>IF('ENCODAGE DE MON PROJET'!E274="NON", 0,1)</f>
        <v>0</v>
      </c>
      <c r="G135" s="23" t="s">
        <v>12</v>
      </c>
      <c r="H135" s="23" t="s">
        <v>7</v>
      </c>
      <c r="I135" s="24">
        <v>3500</v>
      </c>
      <c r="J135" s="23" t="s">
        <v>4</v>
      </c>
      <c r="K135" s="1" t="s">
        <v>8</v>
      </c>
      <c r="L135" s="47">
        <f t="shared" si="1"/>
        <v>0</v>
      </c>
      <c r="M135" s="23" t="s">
        <v>4</v>
      </c>
      <c r="N135" s="56"/>
      <c r="O135" s="23"/>
    </row>
    <row r="136" spans="3:26" ht="14.4">
      <c r="C136" s="60" t="s">
        <v>293</v>
      </c>
      <c r="D136" s="42" t="s">
        <v>351</v>
      </c>
      <c r="E136" s="42"/>
      <c r="F136" s="22">
        <f>IF(OR('ENCODAGE DE MON PROJET'!E251="OUI",'ENCODAGE DE MON PROJET'!E274="OUI"),1,0)</f>
        <v>0</v>
      </c>
      <c r="G136" s="23" t="s">
        <v>0</v>
      </c>
      <c r="H136" s="23" t="s">
        <v>7</v>
      </c>
      <c r="I136" s="24">
        <f>IF(AND('ENCODAGE DE MON PROJET'!E251="OUI",'ENCODAGE DE MON PROJET'!E274="OUI"),('ENCODAGE DE MON PROJET'!E253+'ENCODAGE DE MON PROJET'!E254+'ENCODAGE DE MON PROJET'!E255+1)*120,IF('ENCODAGE DE MON PROJET'!E251="OUI",('ENCODAGE DE MON PROJET'!E253+'ENCODAGE DE MON PROJET'!E254+'ENCODAGE DE MON PROJET'!E255)*120,IF('ENCODAGE DE MON PROJET'!E274="OUI",120,0)))</f>
        <v>0</v>
      </c>
      <c r="J136" s="23" t="s">
        <v>4</v>
      </c>
      <c r="K136" s="1" t="s">
        <v>8</v>
      </c>
      <c r="L136" s="47">
        <f t="shared" si="1"/>
        <v>0</v>
      </c>
      <c r="M136" s="23" t="s">
        <v>4</v>
      </c>
      <c r="N136" s="56"/>
      <c r="O136" s="23"/>
    </row>
    <row r="137" spans="3:26" ht="14.4">
      <c r="C137" s="60" t="s">
        <v>294</v>
      </c>
      <c r="D137" s="42" t="s">
        <v>104</v>
      </c>
      <c r="E137" s="42"/>
      <c r="F137" s="22">
        <f>IF('ENCODAGE DE MON PROJET'!E292="NON", 0, 'ENCODAGE DE MON PROJET'!E294)</f>
        <v>0</v>
      </c>
      <c r="G137" s="23" t="s">
        <v>12</v>
      </c>
      <c r="H137" s="23" t="s">
        <v>7</v>
      </c>
      <c r="I137" s="24">
        <v>2100</v>
      </c>
      <c r="J137" s="23" t="s">
        <v>4</v>
      </c>
      <c r="K137" s="1" t="s">
        <v>8</v>
      </c>
      <c r="L137" s="47">
        <f t="shared" si="1"/>
        <v>0</v>
      </c>
      <c r="M137" s="23" t="s">
        <v>4</v>
      </c>
      <c r="N137" s="56"/>
      <c r="O137" s="23"/>
    </row>
    <row r="138" spans="3:26" ht="14.4">
      <c r="C138" s="60" t="s">
        <v>295</v>
      </c>
      <c r="D138" s="108" t="s">
        <v>273</v>
      </c>
      <c r="E138" s="42"/>
      <c r="F138" s="22">
        <f>IF(AND('ENCODAGE DE MON PROJET'!E292="OUI",'ENCODAGE DE MON PROJET'!E293="triple vitrage"),F137,0)</f>
        <v>0</v>
      </c>
      <c r="G138" s="23" t="s">
        <v>12</v>
      </c>
      <c r="H138" s="23" t="s">
        <v>7</v>
      </c>
      <c r="I138" s="24">
        <v>300</v>
      </c>
      <c r="J138" s="23" t="s">
        <v>4</v>
      </c>
      <c r="K138" s="1" t="s">
        <v>8</v>
      </c>
      <c r="L138" s="47">
        <f t="shared" si="1"/>
        <v>0</v>
      </c>
      <c r="M138" s="23" t="s">
        <v>4</v>
      </c>
      <c r="N138" s="56"/>
      <c r="O138" s="23"/>
    </row>
    <row r="139" spans="3:26" ht="14.4">
      <c r="C139" s="60" t="s">
        <v>296</v>
      </c>
      <c r="D139" s="42" t="s">
        <v>105</v>
      </c>
      <c r="E139" s="42"/>
      <c r="F139" s="22">
        <f>IF('ENCODAGE DE MON PROJET'!E312="NON", 0, 'ENCODAGE DE MON PROJET'!E314)</f>
        <v>0</v>
      </c>
      <c r="G139" s="23" t="s">
        <v>12</v>
      </c>
      <c r="H139" s="23" t="s">
        <v>7</v>
      </c>
      <c r="I139" s="24">
        <v>1800</v>
      </c>
      <c r="J139" s="23" t="s">
        <v>4</v>
      </c>
      <c r="K139" s="1" t="s">
        <v>8</v>
      </c>
      <c r="L139" s="47">
        <f t="shared" si="1"/>
        <v>0</v>
      </c>
      <c r="M139" s="23" t="s">
        <v>4</v>
      </c>
      <c r="N139" s="56"/>
      <c r="O139" s="23"/>
    </row>
    <row r="140" spans="3:26" ht="14.4">
      <c r="C140" s="60" t="s">
        <v>352</v>
      </c>
      <c r="D140" s="108" t="s">
        <v>273</v>
      </c>
      <c r="E140" s="42"/>
      <c r="F140" s="22">
        <f>IF(AND('ENCODAGE DE MON PROJET'!E312="OUI",'ENCODAGE DE MON PROJET'!E313="triple vitrage"), 'ENCODAGE DE MON PROJET'!E314,0)</f>
        <v>0</v>
      </c>
      <c r="G140" s="23" t="s">
        <v>12</v>
      </c>
      <c r="H140" s="23" t="s">
        <v>7</v>
      </c>
      <c r="I140" s="24">
        <v>250</v>
      </c>
      <c r="J140" s="23" t="s">
        <v>4</v>
      </c>
      <c r="K140" s="1" t="s">
        <v>8</v>
      </c>
      <c r="L140" s="47">
        <f t="shared" si="1"/>
        <v>0</v>
      </c>
      <c r="M140" s="23" t="s">
        <v>4</v>
      </c>
      <c r="N140" s="56"/>
      <c r="O140" s="23"/>
    </row>
    <row r="141" spans="3:26" ht="14.4">
      <c r="D141" s="57"/>
      <c r="E141" s="58"/>
      <c r="F141" s="44"/>
      <c r="G141" s="23"/>
      <c r="H141" s="23"/>
      <c r="I141" s="24"/>
      <c r="J141" s="23"/>
      <c r="L141" s="47"/>
      <c r="M141" s="23"/>
      <c r="N141" s="56"/>
      <c r="O141" s="23"/>
      <c r="R141" s="24"/>
      <c r="V141" s="24"/>
      <c r="Z141" s="24"/>
    </row>
    <row r="142" spans="3:26" ht="14.4">
      <c r="C142" s="65" t="s">
        <v>196</v>
      </c>
      <c r="D142" s="43" t="s">
        <v>10</v>
      </c>
      <c r="E142" s="43"/>
      <c r="F142"/>
      <c r="G142"/>
      <c r="H142"/>
      <c r="I142"/>
      <c r="L142" s="46"/>
    </row>
    <row r="143" spans="3:26" ht="14.4">
      <c r="C143" s="60" t="s">
        <v>197</v>
      </c>
      <c r="D143" s="42" t="s">
        <v>40</v>
      </c>
      <c r="E143" s="42"/>
      <c r="F143" s="22">
        <f>IF(AND('ENCODAGE DE MON PROJET'!E333="OUI",'ENCODAGE DE MON PROJET'!E334="chaudière"),1,0)</f>
        <v>0</v>
      </c>
      <c r="G143" s="23" t="s">
        <v>0</v>
      </c>
      <c r="H143" s="23" t="s">
        <v>7</v>
      </c>
      <c r="I143" s="24">
        <v>4725</v>
      </c>
      <c r="J143" s="23" t="s">
        <v>4</v>
      </c>
      <c r="K143" s="1" t="s">
        <v>8</v>
      </c>
      <c r="L143" s="47">
        <f t="shared" ref="L143:L153" si="2">I143*F143</f>
        <v>0</v>
      </c>
      <c r="M143" s="23" t="s">
        <v>4</v>
      </c>
      <c r="N143" s="56"/>
      <c r="O143" s="23"/>
    </row>
    <row r="144" spans="3:26" ht="14.4">
      <c r="C144" s="60" t="s">
        <v>198</v>
      </c>
      <c r="D144" s="42" t="s">
        <v>113</v>
      </c>
      <c r="E144" s="42"/>
      <c r="F144" s="22">
        <f>IF(AND('ENCODAGE DE MON PROJET'!E333="OUI",'ENCODAGE DE MON PROJET'!E334="chaudière"),1,0)</f>
        <v>0</v>
      </c>
      <c r="G144" s="23" t="s">
        <v>0</v>
      </c>
      <c r="H144" s="23" t="s">
        <v>7</v>
      </c>
      <c r="I144" s="24">
        <v>2100</v>
      </c>
      <c r="J144" s="23" t="s">
        <v>4</v>
      </c>
      <c r="K144" s="1" t="s">
        <v>8</v>
      </c>
      <c r="L144" s="47">
        <f t="shared" si="2"/>
        <v>0</v>
      </c>
      <c r="M144" s="23" t="s">
        <v>4</v>
      </c>
      <c r="N144" s="56"/>
      <c r="O144" s="23"/>
    </row>
    <row r="145" spans="2:15" ht="14.4">
      <c r="C145" s="60" t="s">
        <v>199</v>
      </c>
      <c r="D145" s="42" t="s">
        <v>114</v>
      </c>
      <c r="E145" s="42"/>
      <c r="F145" s="22">
        <f>IF(AND('ENCODAGE DE MON PROJET'!E333="OUI",'ENCODAGE DE MON PROJET'!E334="chaudière"),1,0)</f>
        <v>0</v>
      </c>
      <c r="G145" s="23" t="s">
        <v>0</v>
      </c>
      <c r="H145" s="23" t="s">
        <v>7</v>
      </c>
      <c r="I145" s="24">
        <v>1000</v>
      </c>
      <c r="J145" s="23" t="s">
        <v>4</v>
      </c>
      <c r="K145" s="1" t="s">
        <v>8</v>
      </c>
      <c r="L145" s="47">
        <f t="shared" si="2"/>
        <v>0</v>
      </c>
      <c r="M145" s="23" t="s">
        <v>4</v>
      </c>
      <c r="N145" s="56"/>
      <c r="O145" s="23"/>
    </row>
    <row r="146" spans="2:15" ht="14.4">
      <c r="C146" s="60" t="s">
        <v>200</v>
      </c>
      <c r="D146" s="42" t="s">
        <v>116</v>
      </c>
      <c r="E146" s="42"/>
      <c r="F146" s="22">
        <f>IF(AND('ENCODAGE DE MON PROJET'!E333="OUI",'ENCODAGE DE MON PROJET'!E334="pompe à chaleur"),1,0)</f>
        <v>0</v>
      </c>
      <c r="G146" s="23" t="s">
        <v>0</v>
      </c>
      <c r="H146" s="23" t="s">
        <v>7</v>
      </c>
      <c r="I146" s="24">
        <v>16000</v>
      </c>
      <c r="J146" s="23" t="s">
        <v>4</v>
      </c>
      <c r="K146" s="1" t="s">
        <v>8</v>
      </c>
      <c r="L146" s="47">
        <f t="shared" si="2"/>
        <v>0</v>
      </c>
      <c r="M146" s="23" t="s">
        <v>4</v>
      </c>
      <c r="N146" s="56"/>
      <c r="O146" s="23"/>
    </row>
    <row r="147" spans="2:15" ht="14.4">
      <c r="C147" s="60" t="s">
        <v>201</v>
      </c>
      <c r="D147" s="42" t="s">
        <v>115</v>
      </c>
      <c r="E147" s="42"/>
      <c r="F147" s="22">
        <f>IF(AND('ENCODAGE DE MON PROJET'!E333="OUI",'ENCODAGE DE MON PROJET'!E334="pompe à chaleur"),1,0)</f>
        <v>0</v>
      </c>
      <c r="G147" s="23" t="s">
        <v>0</v>
      </c>
      <c r="H147" s="23" t="s">
        <v>7</v>
      </c>
      <c r="I147" s="24">
        <v>4200</v>
      </c>
      <c r="J147" s="23" t="s">
        <v>4</v>
      </c>
      <c r="K147" s="1" t="s">
        <v>8</v>
      </c>
      <c r="L147" s="47">
        <f t="shared" si="2"/>
        <v>0</v>
      </c>
      <c r="M147" s="23" t="s">
        <v>4</v>
      </c>
      <c r="N147" s="56"/>
      <c r="O147" s="23"/>
    </row>
    <row r="148" spans="2:15" ht="14.4">
      <c r="C148" s="60" t="s">
        <v>202</v>
      </c>
      <c r="D148" s="42" t="s">
        <v>118</v>
      </c>
      <c r="E148" s="42"/>
      <c r="F148" s="22">
        <f>IF(AND('ENCODAGE DE MON PROJET'!E333="OUI",'ENCODAGE DE MON PROJET'!E334="pompe à chaleur"),'ENCODAGE DE MON PROJET'!E335,0)</f>
        <v>0</v>
      </c>
      <c r="G148" s="23" t="s">
        <v>12</v>
      </c>
      <c r="H148" s="23" t="s">
        <v>7</v>
      </c>
      <c r="I148" s="24">
        <v>1200</v>
      </c>
      <c r="J148" s="23" t="s">
        <v>4</v>
      </c>
      <c r="K148" s="1" t="s">
        <v>8</v>
      </c>
      <c r="L148" s="47">
        <f t="shared" si="2"/>
        <v>0</v>
      </c>
      <c r="M148" s="23" t="s">
        <v>4</v>
      </c>
      <c r="N148" s="56"/>
      <c r="O148" s="23"/>
    </row>
    <row r="149" spans="2:15" ht="14.4">
      <c r="C149" s="60" t="s">
        <v>203</v>
      </c>
      <c r="D149" s="42" t="s">
        <v>121</v>
      </c>
      <c r="E149" s="42"/>
      <c r="F149" s="22">
        <f>IF('ENCODAGE DE MON PROJET'!E371="OUI",IF('ENCODAGE DE MON PROJET'!E372="D (double flux)",0,'ENCODAGE DE MON PROJET'!E375),0)</f>
        <v>0</v>
      </c>
      <c r="G149" s="23" t="s">
        <v>12</v>
      </c>
      <c r="H149" s="23" t="s">
        <v>7</v>
      </c>
      <c r="I149" s="24">
        <v>735</v>
      </c>
      <c r="J149" s="23" t="s">
        <v>4</v>
      </c>
      <c r="K149" s="1" t="s">
        <v>8</v>
      </c>
      <c r="L149" s="47">
        <f t="shared" si="2"/>
        <v>0</v>
      </c>
      <c r="M149" s="23" t="s">
        <v>4</v>
      </c>
      <c r="N149" s="56"/>
      <c r="O149" s="23"/>
    </row>
    <row r="150" spans="2:15" ht="14.4">
      <c r="C150" s="60" t="s">
        <v>204</v>
      </c>
      <c r="D150" s="42" t="s">
        <v>122</v>
      </c>
      <c r="E150" s="42"/>
      <c r="F150" s="22">
        <f>IF(AND('ENCODAGE DE MON PROJET'!E371="OUI",'ENCODAGE DE MON PROJET'!E372="D (double flux)"),1,0)</f>
        <v>0</v>
      </c>
      <c r="G150" s="23" t="s">
        <v>0</v>
      </c>
      <c r="H150" s="23" t="s">
        <v>7</v>
      </c>
      <c r="I150" s="24">
        <v>8500</v>
      </c>
      <c r="J150" s="23" t="s">
        <v>4</v>
      </c>
      <c r="K150" s="1" t="s">
        <v>8</v>
      </c>
      <c r="L150" s="47">
        <f t="shared" si="2"/>
        <v>0</v>
      </c>
      <c r="M150" s="23" t="s">
        <v>4</v>
      </c>
      <c r="N150" s="56"/>
      <c r="O150" s="23"/>
    </row>
    <row r="151" spans="2:15" ht="14.4">
      <c r="C151" s="60" t="s">
        <v>205</v>
      </c>
      <c r="D151" s="42" t="s">
        <v>123</v>
      </c>
      <c r="E151" s="42"/>
      <c r="F151" s="22">
        <f>IF(AND('ENCODAGE DE MON PROJET'!E371="OUI",'ENCODAGE DE MON PROJET'!E372="D (double flux)"),1,0)</f>
        <v>0</v>
      </c>
      <c r="G151" s="23" t="s">
        <v>0</v>
      </c>
      <c r="H151" s="23" t="s">
        <v>7</v>
      </c>
      <c r="I151" s="24">
        <v>350</v>
      </c>
      <c r="J151" s="23" t="s">
        <v>4</v>
      </c>
      <c r="K151" s="1" t="s">
        <v>8</v>
      </c>
      <c r="L151" s="47">
        <f t="shared" si="2"/>
        <v>0</v>
      </c>
      <c r="M151" s="23" t="s">
        <v>4</v>
      </c>
      <c r="N151" s="56"/>
      <c r="O151" s="23"/>
    </row>
    <row r="152" spans="2:15" ht="14.4">
      <c r="C152" s="60" t="s">
        <v>206</v>
      </c>
      <c r="D152" s="42" t="s">
        <v>124</v>
      </c>
      <c r="E152" s="42"/>
      <c r="F152" s="22">
        <f>IF(AND('ENCODAGE DE MON PROJET'!E371="OUI",'ENCODAGE DE MON PROJET'!E372="D (double flux)"),1,0)</f>
        <v>0</v>
      </c>
      <c r="G152" s="23" t="s">
        <v>0</v>
      </c>
      <c r="H152" s="23" t="s">
        <v>7</v>
      </c>
      <c r="I152" s="24">
        <v>350</v>
      </c>
      <c r="J152" s="23" t="s">
        <v>4</v>
      </c>
      <c r="K152" s="1" t="s">
        <v>8</v>
      </c>
      <c r="L152" s="47">
        <f t="shared" si="2"/>
        <v>0</v>
      </c>
      <c r="M152" s="23" t="s">
        <v>4</v>
      </c>
      <c r="N152" s="56"/>
      <c r="O152" s="23"/>
    </row>
    <row r="153" spans="2:15" ht="14.4">
      <c r="C153" s="60" t="s">
        <v>207</v>
      </c>
      <c r="D153" s="42" t="s">
        <v>96</v>
      </c>
      <c r="E153" s="42"/>
      <c r="F153" s="22">
        <f>IF(AND('ENCODAGE DE MON PROJET'!E371="OUI",'ENCODAGE DE MON PROJET'!E372="D (double flux)"),1,0)</f>
        <v>0</v>
      </c>
      <c r="G153" s="23" t="s">
        <v>0</v>
      </c>
      <c r="H153" s="23" t="s">
        <v>7</v>
      </c>
      <c r="I153" s="24">
        <v>1350</v>
      </c>
      <c r="J153" s="23" t="s">
        <v>4</v>
      </c>
      <c r="K153" s="1" t="s">
        <v>8</v>
      </c>
      <c r="L153" s="47">
        <f t="shared" si="2"/>
        <v>0</v>
      </c>
      <c r="M153" s="23" t="s">
        <v>4</v>
      </c>
      <c r="N153" s="56"/>
      <c r="O153" s="23"/>
    </row>
    <row r="154" spans="2:15" ht="14.4">
      <c r="C154" s="60" t="s">
        <v>208</v>
      </c>
      <c r="D154" s="42" t="s">
        <v>106</v>
      </c>
      <c r="E154" s="42"/>
      <c r="F154" s="22"/>
      <c r="G154" s="23"/>
      <c r="H154" s="23"/>
      <c r="I154" s="24"/>
      <c r="J154" s="23"/>
      <c r="L154" s="59" t="s">
        <v>6</v>
      </c>
      <c r="M154" s="23"/>
      <c r="N154" s="56"/>
      <c r="O154" s="23"/>
    </row>
    <row r="155" spans="2:15" ht="14.4">
      <c r="C155" s="60" t="s">
        <v>209</v>
      </c>
      <c r="D155" s="42" t="s">
        <v>42</v>
      </c>
      <c r="E155" s="42"/>
      <c r="F155" s="22">
        <f>IF('ENCODAGE DE MON PROJET'!E400="OUI",'ENCODAGE DE MON PROJET'!E401,0)</f>
        <v>0</v>
      </c>
      <c r="G155" s="23" t="s">
        <v>12</v>
      </c>
      <c r="H155" s="23" t="s">
        <v>7</v>
      </c>
      <c r="I155" s="24">
        <f>IF(F155&lt;7,1300,1050)</f>
        <v>1300</v>
      </c>
      <c r="J155" s="23" t="s">
        <v>4</v>
      </c>
      <c r="K155" s="1" t="s">
        <v>8</v>
      </c>
      <c r="L155" s="47">
        <f>I155*F155</f>
        <v>0</v>
      </c>
      <c r="M155" s="23" t="s">
        <v>4</v>
      </c>
      <c r="N155" s="56"/>
      <c r="O155" s="23"/>
    </row>
    <row r="156" spans="2:15" ht="14.4">
      <c r="C156" s="60"/>
      <c r="D156" s="42"/>
      <c r="E156" s="42"/>
      <c r="F156" s="22"/>
      <c r="G156" s="23"/>
      <c r="H156" s="23"/>
      <c r="I156" s="24"/>
      <c r="J156" s="23"/>
      <c r="K156" s="23"/>
      <c r="L156" s="47"/>
      <c r="M156" s="23"/>
      <c r="N156" s="56"/>
      <c r="O156" s="23"/>
    </row>
    <row r="157" spans="2:15">
      <c r="C157" s="65" t="s">
        <v>210</v>
      </c>
      <c r="D157" s="43" t="s">
        <v>25</v>
      </c>
      <c r="E157" s="43"/>
    </row>
    <row r="158" spans="2:15" ht="14.4">
      <c r="B158" s="20"/>
      <c r="C158" s="20"/>
      <c r="D158" s="20"/>
      <c r="E158" s="20"/>
      <c r="F158" s="67" t="s">
        <v>26</v>
      </c>
      <c r="G158"/>
      <c r="H158"/>
      <c r="I158"/>
      <c r="L158" s="47">
        <f>5%*(SUM(L19:L156))</f>
        <v>0</v>
      </c>
      <c r="M158" s="1" t="s">
        <v>4</v>
      </c>
    </row>
    <row r="159" spans="2:15" ht="15" thickBot="1">
      <c r="D159" s="42"/>
      <c r="E159" s="42"/>
      <c r="F159"/>
      <c r="G159"/>
      <c r="H159"/>
      <c r="I159"/>
      <c r="L159" s="46"/>
    </row>
    <row r="160" spans="2:15" ht="14.4" thickBot="1">
      <c r="D160" s="14" t="s">
        <v>22</v>
      </c>
      <c r="E160" s="26"/>
      <c r="F160" s="26"/>
      <c r="G160" s="26"/>
      <c r="H160" s="26"/>
      <c r="I160" s="26"/>
      <c r="J160" s="26"/>
      <c r="K160" s="26"/>
      <c r="L160" s="62">
        <f>SUM(L13:L159)</f>
        <v>840</v>
      </c>
      <c r="M160" s="23" t="s">
        <v>4</v>
      </c>
    </row>
    <row r="161" spans="2:24" ht="9.75" customHeight="1">
      <c r="J161" s="25"/>
      <c r="K161" s="25"/>
      <c r="L161" s="50"/>
      <c r="M161" s="2"/>
    </row>
    <row r="162" spans="2:24">
      <c r="C162" s="20"/>
      <c r="D162" s="27" t="s">
        <v>436</v>
      </c>
      <c r="E162" s="28"/>
      <c r="F162" s="18"/>
      <c r="G162" s="18"/>
      <c r="H162" s="28">
        <v>5</v>
      </c>
      <c r="I162" s="28" t="s">
        <v>1</v>
      </c>
      <c r="J162" s="29"/>
      <c r="K162" s="29"/>
      <c r="L162" s="63">
        <f>L160*H162%</f>
        <v>42</v>
      </c>
    </row>
    <row r="163" spans="2:24" ht="11.25" customHeight="1" thickBot="1">
      <c r="C163" s="20"/>
      <c r="F163" s="20"/>
      <c r="G163" s="20"/>
      <c r="J163" s="30"/>
      <c r="K163" s="30"/>
      <c r="L163" s="51"/>
    </row>
    <row r="164" spans="2:24" ht="14.4" thickBot="1">
      <c r="D164" s="31" t="s">
        <v>21</v>
      </c>
      <c r="E164" s="33"/>
      <c r="F164" s="32"/>
      <c r="G164" s="33"/>
      <c r="H164" s="33"/>
      <c r="I164" s="33"/>
      <c r="J164" s="33"/>
      <c r="K164" s="33"/>
      <c r="L164" s="62">
        <f>SUM(L160:L162)</f>
        <v>882</v>
      </c>
      <c r="M164" s="23" t="s">
        <v>4</v>
      </c>
      <c r="N164" s="23"/>
    </row>
    <row r="165" spans="2:24" ht="9.75" customHeight="1">
      <c r="J165" s="25"/>
      <c r="K165" s="25"/>
      <c r="L165" s="50"/>
      <c r="M165" s="2"/>
    </row>
    <row r="166" spans="2:24">
      <c r="D166" s="1" t="s">
        <v>435</v>
      </c>
      <c r="H166" s="1">
        <v>6</v>
      </c>
      <c r="I166" s="1" t="s">
        <v>1</v>
      </c>
      <c r="J166" s="25"/>
      <c r="K166" s="25"/>
      <c r="L166" s="64">
        <f>L164*H166%</f>
        <v>52.919999999999995</v>
      </c>
      <c r="M166" s="23"/>
      <c r="N166" s="23"/>
    </row>
    <row r="167" spans="2:24" ht="9.75" customHeight="1" thickBot="1">
      <c r="J167" s="25"/>
      <c r="K167" s="25"/>
      <c r="L167" s="50"/>
      <c r="M167" s="2"/>
    </row>
    <row r="168" spans="2:24" ht="14.4" thickBot="1">
      <c r="D168" s="31" t="s">
        <v>20</v>
      </c>
      <c r="E168" s="33"/>
      <c r="F168" s="33"/>
      <c r="G168" s="33"/>
      <c r="H168" s="33"/>
      <c r="I168" s="33"/>
      <c r="J168" s="33"/>
      <c r="K168" s="33"/>
      <c r="L168" s="62">
        <f>L164+L166</f>
        <v>934.92</v>
      </c>
      <c r="M168" s="23" t="s">
        <v>5</v>
      </c>
    </row>
    <row r="169" spans="2:24">
      <c r="D169" s="137"/>
      <c r="E169" s="137"/>
      <c r="F169" s="137"/>
      <c r="G169" s="137"/>
      <c r="H169" s="137"/>
      <c r="I169" s="137"/>
      <c r="J169" s="137"/>
      <c r="K169" s="137"/>
      <c r="L169" s="141"/>
      <c r="M169" s="23"/>
    </row>
    <row r="170" spans="2:24" s="3" customFormat="1">
      <c r="L170" s="52"/>
      <c r="P170" s="1"/>
      <c r="Q170" s="1"/>
      <c r="R170" s="1"/>
      <c r="S170" s="1"/>
      <c r="V170" s="1"/>
      <c r="W170" s="1"/>
      <c r="X170" s="1"/>
    </row>
    <row r="171" spans="2:24" s="3" customFormat="1">
      <c r="B171" s="34">
        <v>2</v>
      </c>
      <c r="C171" s="35"/>
      <c r="D171" s="35" t="s">
        <v>19</v>
      </c>
      <c r="E171" s="35"/>
      <c r="F171" s="35"/>
      <c r="G171" s="35"/>
      <c r="H171" s="35"/>
      <c r="I171" s="35"/>
      <c r="J171" s="36"/>
      <c r="K171" s="36"/>
      <c r="L171" s="55"/>
      <c r="M171" s="54"/>
      <c r="P171" s="1"/>
      <c r="Q171" s="1"/>
      <c r="R171" s="1"/>
      <c r="S171" s="1"/>
      <c r="V171" s="1"/>
      <c r="W171" s="1"/>
      <c r="X171" s="1"/>
    </row>
    <row r="172" spans="2:24" s="3" customFormat="1"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52"/>
      <c r="M172" s="37"/>
      <c r="P172" s="1"/>
      <c r="Q172" s="1"/>
      <c r="R172" s="1"/>
      <c r="S172" s="1"/>
      <c r="T172" s="1"/>
    </row>
    <row r="173" spans="2:24" s="3" customFormat="1" ht="14.4">
      <c r="B173" s="37"/>
      <c r="C173" s="37" t="s">
        <v>211</v>
      </c>
      <c r="D173" s="37" t="s">
        <v>2</v>
      </c>
      <c r="E173" s="37"/>
      <c r="F173" s="82">
        <v>0.13500000000000001</v>
      </c>
      <c r="G173" s="23"/>
      <c r="H173" s="23" t="s">
        <v>7</v>
      </c>
      <c r="I173" s="83">
        <f>L160</f>
        <v>840</v>
      </c>
      <c r="J173" s="23"/>
      <c r="K173" s="1" t="s">
        <v>8</v>
      </c>
      <c r="L173" s="53">
        <f>F173*I173</f>
        <v>113.4</v>
      </c>
      <c r="M173" s="40" t="s">
        <v>4</v>
      </c>
      <c r="P173" s="1"/>
      <c r="Q173" s="1"/>
      <c r="R173" s="1"/>
      <c r="S173" s="1"/>
      <c r="T173" s="1"/>
    </row>
    <row r="174" spans="2:24" s="3" customFormat="1">
      <c r="B174" s="37"/>
      <c r="C174" s="37"/>
      <c r="D174" s="69" t="s">
        <v>24</v>
      </c>
      <c r="G174" s="23"/>
      <c r="H174" s="23"/>
      <c r="I174" s="24"/>
      <c r="J174" s="23"/>
      <c r="K174" s="1"/>
      <c r="L174" s="53"/>
      <c r="M174" s="40"/>
      <c r="P174" s="1"/>
      <c r="Q174" s="1"/>
      <c r="R174" s="1"/>
      <c r="S174" s="1"/>
      <c r="T174" s="1"/>
    </row>
    <row r="175" spans="2:24" s="3" customFormat="1">
      <c r="B175" s="37"/>
      <c r="C175" s="37"/>
      <c r="D175" s="69" t="s">
        <v>27</v>
      </c>
      <c r="E175" s="68"/>
      <c r="G175" s="23"/>
      <c r="H175" s="23"/>
      <c r="I175" s="24"/>
      <c r="J175" s="23"/>
      <c r="K175" s="1"/>
      <c r="L175" s="53"/>
      <c r="M175" s="40"/>
      <c r="P175" s="1"/>
      <c r="Q175" s="1"/>
      <c r="R175" s="1"/>
      <c r="S175" s="1"/>
      <c r="T175" s="1"/>
    </row>
    <row r="176" spans="2:24" s="3" customFormat="1">
      <c r="B176" s="37"/>
      <c r="C176" s="37"/>
      <c r="D176" s="69" t="s">
        <v>282</v>
      </c>
      <c r="E176" s="68"/>
      <c r="G176" s="23"/>
      <c r="H176" s="23"/>
      <c r="I176" s="24"/>
      <c r="J176" s="23"/>
      <c r="K176" s="1"/>
      <c r="L176" s="53"/>
      <c r="M176" s="40"/>
      <c r="P176" s="1"/>
      <c r="Q176" s="1"/>
      <c r="R176" s="1"/>
      <c r="S176" s="1"/>
      <c r="T176" s="1"/>
    </row>
    <row r="177" spans="2:20" s="3" customFormat="1">
      <c r="B177" s="37"/>
      <c r="C177" s="37"/>
      <c r="D177" s="69" t="s">
        <v>430</v>
      </c>
      <c r="E177" s="68"/>
      <c r="G177" s="23"/>
      <c r="H177" s="23"/>
      <c r="I177" s="24"/>
      <c r="J177" s="23"/>
      <c r="K177" s="1"/>
      <c r="L177" s="53"/>
      <c r="M177" s="40"/>
      <c r="P177" s="1"/>
      <c r="Q177" s="1"/>
      <c r="R177" s="1"/>
      <c r="S177" s="1"/>
      <c r="T177" s="1"/>
    </row>
    <row r="178" spans="2:20" s="3" customFormat="1">
      <c r="B178" s="37"/>
      <c r="C178" s="37"/>
      <c r="D178" s="69"/>
      <c r="E178" s="68"/>
      <c r="G178" s="23"/>
      <c r="H178" s="23"/>
      <c r="I178" s="24"/>
      <c r="J178" s="23"/>
      <c r="K178" s="1"/>
      <c r="L178" s="53"/>
      <c r="M178" s="40"/>
      <c r="P178" s="1"/>
      <c r="Q178" s="1"/>
      <c r="R178" s="1"/>
      <c r="S178" s="1"/>
      <c r="T178" s="1"/>
    </row>
    <row r="179" spans="2:20" s="3" customFormat="1" ht="14.4">
      <c r="B179" s="37"/>
      <c r="C179" s="37" t="s">
        <v>212</v>
      </c>
      <c r="D179" s="37" t="s">
        <v>134</v>
      </c>
      <c r="E179" s="37"/>
      <c r="F179" s="22">
        <v>1</v>
      </c>
      <c r="G179" s="23" t="s">
        <v>12</v>
      </c>
      <c r="H179" s="23" t="s">
        <v>7</v>
      </c>
      <c r="I179" s="24"/>
      <c r="J179" s="23"/>
      <c r="K179" s="1"/>
      <c r="L179" s="119" t="s">
        <v>6</v>
      </c>
      <c r="M179" s="40"/>
      <c r="P179" s="1"/>
      <c r="Q179" s="1"/>
      <c r="R179" s="1"/>
      <c r="S179" s="1"/>
      <c r="T179" s="1"/>
    </row>
    <row r="180" spans="2:20" s="3" customFormat="1">
      <c r="B180" s="37"/>
      <c r="C180" s="37"/>
      <c r="D180" s="69" t="s">
        <v>132</v>
      </c>
      <c r="E180" s="68"/>
      <c r="G180" s="23"/>
      <c r="H180" s="23"/>
      <c r="I180" s="24"/>
      <c r="J180" s="23"/>
      <c r="K180" s="1"/>
      <c r="L180" s="120" t="s">
        <v>287</v>
      </c>
      <c r="M180" s="40"/>
      <c r="P180" s="1"/>
      <c r="Q180" s="1"/>
      <c r="R180" s="1"/>
      <c r="S180" s="1"/>
      <c r="T180" s="1"/>
    </row>
    <row r="181" spans="2:20" s="3" customFormat="1">
      <c r="B181" s="37"/>
      <c r="C181" s="37"/>
      <c r="D181" s="69"/>
      <c r="E181" s="68"/>
      <c r="G181" s="23"/>
      <c r="H181" s="23"/>
      <c r="I181" s="24"/>
      <c r="J181" s="23"/>
      <c r="K181" s="1"/>
      <c r="L181" s="53"/>
      <c r="M181" s="40"/>
      <c r="P181" s="1"/>
      <c r="Q181" s="1"/>
      <c r="R181" s="1"/>
      <c r="S181" s="1"/>
      <c r="T181" s="1"/>
    </row>
    <row r="182" spans="2:20" s="3" customFormat="1" ht="14.4">
      <c r="B182" s="37"/>
      <c r="C182" s="37" t="s">
        <v>213</v>
      </c>
      <c r="D182" s="37" t="s">
        <v>14</v>
      </c>
      <c r="E182" s="37"/>
      <c r="F182" s="22">
        <v>1</v>
      </c>
      <c r="G182" s="23" t="s">
        <v>12</v>
      </c>
      <c r="H182" s="23" t="s">
        <v>7</v>
      </c>
      <c r="I182" s="24">
        <v>700</v>
      </c>
      <c r="J182" s="23" t="s">
        <v>4</v>
      </c>
      <c r="K182" s="1" t="s">
        <v>8</v>
      </c>
      <c r="L182" s="53">
        <f>F182*I182</f>
        <v>700</v>
      </c>
      <c r="M182" s="40" t="s">
        <v>4</v>
      </c>
      <c r="P182" s="1"/>
      <c r="Q182" s="1"/>
      <c r="R182" s="1"/>
      <c r="S182" s="1"/>
      <c r="T182" s="1"/>
    </row>
    <row r="183" spans="2:20" s="3" customFormat="1">
      <c r="B183" s="37"/>
      <c r="C183" s="37"/>
      <c r="D183" s="69" t="s">
        <v>132</v>
      </c>
      <c r="E183" s="68"/>
      <c r="G183" s="23"/>
      <c r="H183" s="23"/>
      <c r="I183" s="24"/>
      <c r="J183" s="23"/>
      <c r="K183" s="1"/>
      <c r="L183" s="53"/>
      <c r="M183" s="40"/>
      <c r="P183" s="1"/>
      <c r="Q183" s="1"/>
      <c r="R183" s="1"/>
      <c r="S183" s="1"/>
      <c r="T183" s="1"/>
    </row>
    <row r="184" spans="2:20" s="3" customFormat="1">
      <c r="B184" s="37"/>
      <c r="C184" s="37"/>
      <c r="D184" s="69" t="s">
        <v>133</v>
      </c>
      <c r="E184" s="68"/>
      <c r="G184" s="23"/>
      <c r="H184" s="23"/>
      <c r="I184" s="24"/>
      <c r="J184" s="23"/>
      <c r="K184" s="1"/>
      <c r="L184" s="53"/>
      <c r="M184" s="40"/>
      <c r="P184" s="1"/>
      <c r="Q184" s="1"/>
      <c r="R184" s="1"/>
      <c r="S184" s="1"/>
      <c r="T184" s="1"/>
    </row>
    <row r="185" spans="2:20" s="3" customFormat="1">
      <c r="B185" s="37"/>
      <c r="C185" s="37"/>
      <c r="D185" s="69" t="s">
        <v>431</v>
      </c>
      <c r="E185" s="68"/>
      <c r="G185" s="23"/>
      <c r="H185" s="23"/>
      <c r="I185" s="24"/>
      <c r="J185" s="23"/>
      <c r="K185" s="1"/>
      <c r="L185" s="53"/>
      <c r="M185" s="40"/>
      <c r="P185" s="1"/>
      <c r="Q185" s="1"/>
      <c r="R185" s="1"/>
      <c r="S185" s="1"/>
      <c r="T185" s="1"/>
    </row>
    <row r="186" spans="2:20" s="3" customFormat="1">
      <c r="B186" s="37"/>
      <c r="C186" s="37"/>
      <c r="D186" s="69"/>
      <c r="E186" s="68"/>
      <c r="G186" s="23"/>
      <c r="H186" s="23"/>
      <c r="I186" s="24"/>
      <c r="J186" s="23"/>
      <c r="K186" s="1"/>
      <c r="L186" s="53"/>
      <c r="M186" s="40"/>
      <c r="P186" s="1"/>
      <c r="Q186" s="1"/>
      <c r="R186" s="1"/>
      <c r="S186" s="1"/>
      <c r="T186" s="1"/>
    </row>
    <row r="187" spans="2:20" s="89" customFormat="1" ht="14.4">
      <c r="B187" s="84"/>
      <c r="C187" s="37" t="s">
        <v>214</v>
      </c>
      <c r="D187" s="37" t="s">
        <v>290</v>
      </c>
      <c r="E187" s="84"/>
      <c r="F187" s="22">
        <v>1</v>
      </c>
      <c r="G187" s="23" t="s">
        <v>12</v>
      </c>
      <c r="H187" s="23" t="s">
        <v>7</v>
      </c>
      <c r="I187" s="87"/>
      <c r="J187" s="86"/>
      <c r="K187" s="90"/>
      <c r="L187" s="119" t="s">
        <v>6</v>
      </c>
      <c r="M187" s="88"/>
      <c r="P187" s="90"/>
      <c r="Q187" s="90"/>
      <c r="R187" s="90"/>
      <c r="S187" s="90"/>
      <c r="T187" s="90"/>
    </row>
    <row r="188" spans="2:20" s="89" customFormat="1" ht="14.4">
      <c r="B188" s="84"/>
      <c r="C188" s="37"/>
      <c r="D188" s="84"/>
      <c r="E188" s="84"/>
      <c r="F188" s="85"/>
      <c r="G188" s="86"/>
      <c r="H188" s="86"/>
      <c r="I188" s="87"/>
      <c r="J188" s="86"/>
      <c r="K188" s="90"/>
      <c r="L188" s="120" t="s">
        <v>287</v>
      </c>
      <c r="M188" s="88"/>
      <c r="P188" s="90"/>
      <c r="Q188" s="90"/>
      <c r="R188" s="90"/>
      <c r="S188" s="90"/>
      <c r="T188" s="90"/>
    </row>
    <row r="189" spans="2:20" s="3" customFormat="1" ht="14.4">
      <c r="B189" s="37"/>
      <c r="C189" s="37" t="s">
        <v>416</v>
      </c>
      <c r="D189" s="37" t="s">
        <v>457</v>
      </c>
      <c r="E189" s="37"/>
      <c r="F189" s="22">
        <v>1</v>
      </c>
      <c r="G189" s="23" t="s">
        <v>12</v>
      </c>
      <c r="H189" s="23" t="s">
        <v>7</v>
      </c>
      <c r="I189" s="24">
        <v>1050</v>
      </c>
      <c r="J189" s="23" t="s">
        <v>4</v>
      </c>
      <c r="K189" s="1" t="s">
        <v>8</v>
      </c>
      <c r="L189" s="53">
        <f>F189*I189</f>
        <v>1050</v>
      </c>
      <c r="M189" s="40" t="s">
        <v>4</v>
      </c>
      <c r="P189" s="1"/>
      <c r="Q189" s="1"/>
      <c r="R189" s="1"/>
      <c r="S189" s="1"/>
      <c r="T189" s="1"/>
    </row>
    <row r="190" spans="2:20" s="3" customFormat="1">
      <c r="B190" s="37"/>
      <c r="C190" s="37"/>
      <c r="D190" s="37"/>
      <c r="E190" s="37"/>
      <c r="F190" s="37"/>
      <c r="G190" s="37"/>
      <c r="H190" s="37"/>
      <c r="I190" s="39"/>
      <c r="J190" s="37"/>
      <c r="K190" s="37"/>
      <c r="L190" s="53"/>
      <c r="M190" s="40"/>
      <c r="P190" s="1"/>
      <c r="Q190" s="1"/>
      <c r="R190" s="1"/>
      <c r="S190" s="1"/>
      <c r="T190" s="1"/>
    </row>
    <row r="191" spans="2:20" s="3" customFormat="1">
      <c r="B191" s="37"/>
      <c r="C191" s="37"/>
      <c r="D191" s="37" t="s">
        <v>3</v>
      </c>
      <c r="E191" s="37"/>
      <c r="F191" s="37"/>
      <c r="G191" s="37"/>
      <c r="H191" s="37">
        <v>21</v>
      </c>
      <c r="I191" s="39" t="s">
        <v>1</v>
      </c>
      <c r="J191" s="38"/>
      <c r="K191" s="38"/>
      <c r="L191" s="53">
        <f>SUM(L173:L190)*0.21</f>
        <v>391.31400000000002</v>
      </c>
      <c r="M191" s="40" t="s">
        <v>4</v>
      </c>
      <c r="P191" s="1"/>
      <c r="Q191" s="1"/>
      <c r="R191" s="1"/>
      <c r="S191" s="1"/>
      <c r="T191" s="1"/>
    </row>
    <row r="192" spans="2:20" s="3" customFormat="1" ht="14.4" thickBot="1">
      <c r="B192" s="37"/>
      <c r="C192" s="37"/>
      <c r="D192" s="37"/>
      <c r="E192" s="37"/>
      <c r="F192" s="37"/>
      <c r="G192" s="37"/>
      <c r="H192" s="37"/>
      <c r="I192" s="37"/>
      <c r="J192" s="38"/>
      <c r="K192" s="38"/>
      <c r="L192" s="52"/>
      <c r="M192" s="40"/>
      <c r="P192" s="1"/>
      <c r="Q192" s="1"/>
      <c r="R192" s="1"/>
      <c r="S192" s="1"/>
      <c r="T192" s="1"/>
    </row>
    <row r="193" spans="2:23" s="3" customFormat="1" ht="14.4" thickBot="1">
      <c r="B193" s="37"/>
      <c r="C193" s="37"/>
      <c r="D193" s="31" t="s">
        <v>18</v>
      </c>
      <c r="E193" s="33"/>
      <c r="F193" s="33"/>
      <c r="G193" s="33"/>
      <c r="H193" s="33"/>
      <c r="I193" s="33"/>
      <c r="J193" s="33"/>
      <c r="K193" s="33"/>
      <c r="L193" s="49">
        <f>SUM(L168:L191)</f>
        <v>3189.6339999999996</v>
      </c>
      <c r="M193" s="40" t="s">
        <v>5</v>
      </c>
      <c r="P193" s="1"/>
      <c r="R193" s="1"/>
      <c r="S193" s="1"/>
      <c r="T193" s="1"/>
    </row>
    <row r="196" spans="2:23" ht="14.4">
      <c r="D196" s="135" t="s">
        <v>405</v>
      </c>
      <c r="E196" s="80"/>
      <c r="F196" s="41"/>
      <c r="T196" s="3"/>
    </row>
    <row r="197" spans="2:23" ht="14.4">
      <c r="D197" s="136" t="s">
        <v>404</v>
      </c>
      <c r="E197" s="80"/>
      <c r="F197" s="41"/>
    </row>
    <row r="198" spans="2:23" ht="14.4">
      <c r="D198" s="136"/>
      <c r="E198" s="80"/>
      <c r="F198" s="41"/>
    </row>
    <row r="199" spans="2:23">
      <c r="O199" s="37"/>
      <c r="P199" s="37"/>
      <c r="Q199" s="37"/>
      <c r="R199" s="37"/>
      <c r="S199" s="37"/>
      <c r="T199" s="37"/>
      <c r="U199" s="37"/>
      <c r="V199" s="37"/>
      <c r="W199" s="37"/>
    </row>
  </sheetData>
  <sheetProtection algorithmName="SHA-512" hashValue="JG/CyyvQERB1/zopTeo7ZyhxIAz421sTDzlcDQpJaerhL+rj1XWpAGqn8l1RpxrW+TQBaAHEnXHByry4HdVJpg==" saltValue="1gtMhFghLTMLZFcznYLYWg==" spinCount="100000" sheet="1" objects="1" scenarios="1" selectLockedCells="1"/>
  <phoneticPr fontId="13" type="noConversion"/>
  <hyperlinks>
    <hyperlink ref="D197" r:id="rId1"/>
  </hyperlinks>
  <pageMargins left="0.23622047244094488" right="0.23622047244094488" top="0.23622047244094488" bottom="0.23622047244094488" header="0.31496062992125984" footer="0.31496062992125984"/>
  <pageSetup paperSize="9" scale="77" fitToHeight="0"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X93"/>
  <sheetViews>
    <sheetView showGridLines="0" view="pageBreakPreview" topLeftCell="A66" zoomScale="85" zoomScaleNormal="100" zoomScaleSheetLayoutView="85" workbookViewId="0"/>
  </sheetViews>
  <sheetFormatPr baseColWidth="10" defaultColWidth="11.44140625" defaultRowHeight="13.8"/>
  <cols>
    <col min="1" max="1" width="1.77734375" style="1" customWidth="1"/>
    <col min="2" max="2" width="5.44140625" style="1" customWidth="1"/>
    <col min="3" max="3" width="3.33203125" style="1" customWidth="1"/>
    <col min="4" max="4" width="49.109375" style="1" customWidth="1"/>
    <col min="5" max="5" width="7.88671875" style="1" customWidth="1"/>
    <col min="6" max="6" width="9.44140625" style="1" customWidth="1"/>
    <col min="7" max="7" width="7.6640625" style="1" customWidth="1"/>
    <col min="8" max="8" width="3.5546875" style="1" customWidth="1"/>
    <col min="9" max="9" width="10.44140625" style="1" customWidth="1"/>
    <col min="10" max="10" width="5.109375" style="1" customWidth="1"/>
    <col min="11" max="11" width="2.77734375" style="1" customWidth="1"/>
    <col min="12" max="12" width="12.33203125" style="1" customWidth="1"/>
    <col min="13" max="13" width="5.77734375" style="1" customWidth="1"/>
    <col min="14" max="14" width="4.109375" style="1" customWidth="1"/>
    <col min="15" max="15" width="18.44140625" style="1" customWidth="1"/>
    <col min="16" max="16" width="12.44140625" style="1" bestFit="1" customWidth="1"/>
    <col min="17" max="17" width="11.44140625" style="1"/>
    <col min="18" max="22" width="14.109375" style="1" customWidth="1"/>
    <col min="23" max="16384" width="11.44140625" style="1"/>
  </cols>
  <sheetData>
    <row r="2" spans="2:24" ht="14.4" thickBot="1"/>
    <row r="3" spans="2:24">
      <c r="B3" s="4"/>
      <c r="C3" s="5"/>
      <c r="D3" s="45" t="s">
        <v>407</v>
      </c>
      <c r="E3" s="76"/>
      <c r="F3" s="6"/>
      <c r="G3" s="7"/>
      <c r="H3" s="7"/>
      <c r="I3" s="7"/>
      <c r="J3" s="71"/>
      <c r="K3" s="7"/>
      <c r="L3" s="133"/>
      <c r="M3" s="70"/>
    </row>
    <row r="4" spans="2:24" ht="14.4">
      <c r="B4" s="8"/>
      <c r="C4" s="125"/>
      <c r="D4" s="1" t="s">
        <v>266</v>
      </c>
      <c r="E4" s="124" t="s">
        <v>318</v>
      </c>
      <c r="F4" s="126"/>
      <c r="G4" s="127"/>
      <c r="I4" s="128"/>
      <c r="J4" s="128"/>
      <c r="K4" s="128"/>
      <c r="M4" s="9"/>
    </row>
    <row r="5" spans="2:24" ht="7.5" customHeight="1">
      <c r="B5" s="8"/>
      <c r="C5" s="125"/>
      <c r="E5" s="124" t="s">
        <v>318</v>
      </c>
      <c r="G5" s="127"/>
      <c r="H5" s="129"/>
      <c r="I5" s="128"/>
      <c r="J5" s="128"/>
      <c r="K5" s="128"/>
      <c r="M5" s="9"/>
    </row>
    <row r="6" spans="2:24" ht="14.4">
      <c r="B6" s="8"/>
      <c r="C6" s="125"/>
      <c r="D6" s="129"/>
      <c r="E6" s="124" t="s">
        <v>318</v>
      </c>
      <c r="F6" s="130"/>
      <c r="G6" s="127"/>
      <c r="H6" s="129"/>
      <c r="I6" s="128"/>
      <c r="J6" s="128"/>
      <c r="K6" s="128"/>
      <c r="M6" s="9"/>
    </row>
    <row r="7" spans="2:24" ht="14.4">
      <c r="B7" s="8"/>
      <c r="C7" s="125"/>
      <c r="D7" s="129"/>
      <c r="E7" s="124" t="s">
        <v>318</v>
      </c>
      <c r="F7" s="131"/>
      <c r="G7" s="127"/>
      <c r="H7" s="129"/>
      <c r="I7" s="128"/>
      <c r="J7" s="128"/>
      <c r="K7" s="128"/>
      <c r="M7" s="9"/>
    </row>
    <row r="8" spans="2:24" ht="6" customHeight="1" thickBot="1">
      <c r="B8" s="10"/>
      <c r="C8" s="11"/>
      <c r="D8" s="11"/>
      <c r="E8" s="132" t="s">
        <v>318</v>
      </c>
      <c r="F8" s="11"/>
      <c r="G8" s="11"/>
      <c r="H8" s="11"/>
      <c r="I8" s="12"/>
      <c r="J8" s="12"/>
      <c r="K8" s="12"/>
      <c r="L8" s="134"/>
      <c r="M8" s="13"/>
    </row>
    <row r="10" spans="2:24" s="3" customFormat="1">
      <c r="B10" s="34">
        <v>3</v>
      </c>
      <c r="C10" s="35"/>
      <c r="D10" s="35" t="s">
        <v>135</v>
      </c>
      <c r="E10" s="35"/>
      <c r="F10" s="35"/>
      <c r="G10" s="35"/>
      <c r="H10" s="35"/>
      <c r="I10" s="35"/>
      <c r="J10" s="36"/>
      <c r="K10" s="36"/>
      <c r="L10" s="55"/>
      <c r="M10" s="54"/>
      <c r="P10" s="1"/>
      <c r="Q10" s="1"/>
      <c r="R10" s="1"/>
      <c r="S10" s="1"/>
      <c r="T10" s="1"/>
      <c r="U10" s="1"/>
      <c r="V10" s="1"/>
      <c r="W10" s="1"/>
      <c r="X10" s="1"/>
    </row>
    <row r="11" spans="2:24">
      <c r="C11" s="60"/>
    </row>
    <row r="12" spans="2:24" ht="14.4">
      <c r="C12" s="65" t="s">
        <v>215</v>
      </c>
      <c r="D12" s="43" t="s">
        <v>217</v>
      </c>
      <c r="E12" s="43"/>
      <c r="F12"/>
      <c r="G12"/>
      <c r="H12"/>
      <c r="I12"/>
      <c r="L12" s="46"/>
    </row>
    <row r="13" spans="2:24" ht="14.4">
      <c r="C13" s="60" t="s">
        <v>216</v>
      </c>
      <c r="D13" s="42" t="s">
        <v>224</v>
      </c>
      <c r="E13" s="42"/>
      <c r="F13" s="161">
        <v>0.08</v>
      </c>
      <c r="G13" s="23"/>
      <c r="H13" s="23" t="s">
        <v>7</v>
      </c>
      <c r="I13" s="24">
        <f>SUM(L16:L83)</f>
        <v>0</v>
      </c>
      <c r="J13" s="23"/>
      <c r="K13" s="1" t="s">
        <v>8</v>
      </c>
      <c r="L13" s="47">
        <f>I13*F13</f>
        <v>0</v>
      </c>
      <c r="N13" s="56"/>
      <c r="O13" s="23"/>
    </row>
    <row r="14" spans="2:24">
      <c r="C14" s="60"/>
      <c r="G14" s="23"/>
      <c r="O14" s="37"/>
      <c r="P14" s="37"/>
      <c r="Q14" s="37"/>
      <c r="R14" s="37"/>
      <c r="S14" s="37"/>
      <c r="T14" s="37"/>
      <c r="U14" s="37"/>
      <c r="V14" s="37"/>
      <c r="W14" s="37"/>
    </row>
    <row r="15" spans="2:24" ht="14.4">
      <c r="C15" s="65" t="s">
        <v>218</v>
      </c>
      <c r="D15" s="43" t="s">
        <v>227</v>
      </c>
      <c r="E15" s="43"/>
      <c r="F15"/>
      <c r="G15" s="23"/>
      <c r="H15"/>
      <c r="I15"/>
      <c r="L15" s="46"/>
    </row>
    <row r="16" spans="2:24" ht="14.4">
      <c r="C16" s="60" t="s">
        <v>222</v>
      </c>
      <c r="D16" s="42" t="s">
        <v>225</v>
      </c>
      <c r="E16" s="42"/>
      <c r="F16" s="22">
        <f>SUM(E17:E19)</f>
        <v>0</v>
      </c>
      <c r="G16" s="23" t="s">
        <v>11</v>
      </c>
      <c r="H16" s="23" t="s">
        <v>7</v>
      </c>
      <c r="I16" s="24">
        <f>IF('ENCODAGE DE MON PROJET'!E53="Classe I",20,IF('ENCODAGE DE MON PROJET'!E53="Classe II",30,IF('ENCODAGE DE MON PROJET'!E53="Classe III",40)))</f>
        <v>20</v>
      </c>
      <c r="J16" s="23"/>
      <c r="K16" s="1" t="s">
        <v>8</v>
      </c>
      <c r="L16" s="47">
        <f>I16*F16</f>
        <v>0</v>
      </c>
      <c r="M16" s="23"/>
      <c r="N16" s="56"/>
      <c r="O16" s="23"/>
    </row>
    <row r="17" spans="3:23" ht="14.4">
      <c r="C17" s="60"/>
      <c r="D17" s="57" t="s">
        <v>52</v>
      </c>
      <c r="E17" s="58">
        <f>IF('ENCODAGE DE MON PROJET'!E123="NON", 0, 'ENCODAGE DE MON PROJET'!E125)</f>
        <v>0</v>
      </c>
      <c r="F17" s="44"/>
      <c r="G17" s="23"/>
      <c r="H17" s="23"/>
      <c r="I17" s="24"/>
      <c r="J17" s="23"/>
      <c r="L17" s="47"/>
      <c r="M17" s="23"/>
      <c r="N17" s="56"/>
      <c r="O17" s="23"/>
    </row>
    <row r="18" spans="3:23" ht="14.4">
      <c r="C18" s="60"/>
      <c r="D18" s="57" t="s">
        <v>53</v>
      </c>
      <c r="E18" s="58">
        <f>IF('ENCODAGE DE MON PROJET'!E153="NON", 0, 'ENCODAGE DE MON PROJET'!E154)</f>
        <v>0</v>
      </c>
      <c r="F18" s="44"/>
      <c r="G18" s="23"/>
      <c r="H18" s="23"/>
      <c r="I18" s="24"/>
      <c r="J18" s="23"/>
      <c r="L18" s="47"/>
      <c r="M18" s="23"/>
      <c r="N18" s="56"/>
      <c r="O18" s="23"/>
    </row>
    <row r="19" spans="3:23" ht="14.4">
      <c r="C19" s="60"/>
      <c r="D19" s="57" t="s">
        <v>54</v>
      </c>
      <c r="E19" s="58">
        <f>IF('ENCODAGE DE MON PROJET'!E172="NON", 0, 'ENCODAGE DE MON PROJET'!E173)</f>
        <v>0</v>
      </c>
      <c r="F19" s="44"/>
      <c r="G19" s="23"/>
      <c r="H19" s="23"/>
      <c r="I19" s="24"/>
      <c r="J19" s="23"/>
      <c r="L19" s="47"/>
      <c r="M19" s="23"/>
      <c r="N19" s="56"/>
      <c r="O19" s="23"/>
    </row>
    <row r="20" spans="3:23">
      <c r="C20" s="60"/>
      <c r="G20" s="23"/>
      <c r="O20" s="37"/>
      <c r="P20" s="37"/>
      <c r="Q20" s="37"/>
      <c r="R20" s="37"/>
      <c r="S20" s="37"/>
      <c r="T20" s="91"/>
      <c r="U20" s="37"/>
      <c r="V20" s="91"/>
      <c r="W20" s="37"/>
    </row>
    <row r="21" spans="3:23" ht="14.4">
      <c r="C21" s="65" t="s">
        <v>221</v>
      </c>
      <c r="D21" s="43" t="s">
        <v>220</v>
      </c>
      <c r="E21" s="43"/>
      <c r="F21"/>
      <c r="G21" s="23"/>
      <c r="H21"/>
      <c r="I21"/>
      <c r="L21" s="46"/>
    </row>
    <row r="22" spans="3:23" ht="14.4">
      <c r="C22" s="60" t="s">
        <v>223</v>
      </c>
      <c r="D22" s="42" t="s">
        <v>226</v>
      </c>
      <c r="E22" s="42"/>
      <c r="F22" s="161">
        <f>IF('ENCODAGE DE MON PROJET'!E53="Classe I",30%,IF('ENCODAGE DE MON PROJET'!E53="Classe II",40%,IF('ENCODAGE DE MON PROJET'!E53="Classe III",50%)))</f>
        <v>0.3</v>
      </c>
      <c r="G22" s="23"/>
      <c r="H22" s="23" t="s">
        <v>7</v>
      </c>
      <c r="I22" s="24">
        <f>IF(AND('ENCODAGE DE MON PROJET'!E61="OUI",'ENCODAGE DE MON PROJET'!E63="OUI"), ESTIMATIF!L95,0)</f>
        <v>0</v>
      </c>
      <c r="J22" s="23"/>
      <c r="K22" s="1" t="s">
        <v>8</v>
      </c>
      <c r="L22" s="47">
        <f>I22*F22</f>
        <v>0</v>
      </c>
      <c r="M22" s="23"/>
      <c r="N22" s="56"/>
      <c r="O22" s="23"/>
    </row>
    <row r="23" spans="3:23" ht="14.4">
      <c r="C23" s="60" t="s">
        <v>223</v>
      </c>
      <c r="D23" s="42" t="s">
        <v>228</v>
      </c>
      <c r="E23" s="42"/>
      <c r="F23" s="22">
        <f>SUM(E24:E26)</f>
        <v>0</v>
      </c>
      <c r="G23" s="23" t="s">
        <v>11</v>
      </c>
      <c r="H23" s="23" t="s">
        <v>7</v>
      </c>
      <c r="I23" s="24">
        <f>IF('ENCODAGE DE MON PROJET'!E53="Classe I",60,IF('ENCODAGE DE MON PROJET'!E53="Classe II",70,IF('ENCODAGE DE MON PROJET'!E53="Classe III",80)))</f>
        <v>60</v>
      </c>
      <c r="J23" s="23"/>
      <c r="K23" s="1" t="s">
        <v>8</v>
      </c>
      <c r="L23" s="47">
        <f>I23*F23</f>
        <v>0</v>
      </c>
      <c r="M23" s="23"/>
      <c r="N23" s="56"/>
      <c r="O23" s="23"/>
    </row>
    <row r="24" spans="3:23" ht="14.4">
      <c r="C24" s="60"/>
      <c r="D24" s="57" t="s">
        <v>229</v>
      </c>
      <c r="E24" s="58">
        <f>IF('ENCODAGE DE MON PROJET'!E61="NON", 0, 'ENCODAGE DE MON PROJET'!E64)</f>
        <v>0</v>
      </c>
      <c r="F24" s="44"/>
      <c r="G24" s="23"/>
      <c r="H24" s="23"/>
      <c r="I24" s="24"/>
      <c r="J24" s="23"/>
      <c r="L24" s="47"/>
      <c r="M24" s="23"/>
      <c r="N24" s="56"/>
      <c r="O24" s="23"/>
    </row>
    <row r="25" spans="3:23" ht="14.4">
      <c r="C25" s="60"/>
      <c r="D25" s="57" t="s">
        <v>57</v>
      </c>
      <c r="E25" s="58">
        <f>IF('ENCODAGE DE MON PROJET'!E84="NON", 0, 'ENCODAGE DE MON PROJET'!E85)</f>
        <v>0</v>
      </c>
      <c r="F25" s="44"/>
      <c r="G25" s="23"/>
      <c r="H25" s="23"/>
      <c r="I25" s="24"/>
      <c r="J25" s="23"/>
      <c r="L25" s="47"/>
      <c r="M25" s="23"/>
      <c r="N25" s="56"/>
      <c r="O25" s="23"/>
    </row>
    <row r="26" spans="3:23" ht="14.4">
      <c r="C26" s="60"/>
      <c r="D26" s="57" t="s">
        <v>58</v>
      </c>
      <c r="E26" s="58">
        <f>IF('ENCODAGE DE MON PROJET'!E103="NON", 0, 'ENCODAGE DE MON PROJET'!E104)</f>
        <v>0</v>
      </c>
      <c r="F26" s="44"/>
      <c r="G26" s="23"/>
      <c r="H26" s="23"/>
      <c r="I26" s="24"/>
      <c r="J26" s="23"/>
      <c r="L26" s="47"/>
      <c r="M26" s="23"/>
      <c r="N26" s="56"/>
      <c r="O26" s="23"/>
    </row>
    <row r="27" spans="3:23" ht="14.4">
      <c r="C27" s="60" t="s">
        <v>223</v>
      </c>
      <c r="D27" s="42" t="s">
        <v>238</v>
      </c>
      <c r="E27" s="42"/>
      <c r="F27" s="22">
        <f>SUM(E28:E30)</f>
        <v>0</v>
      </c>
      <c r="G27" s="23" t="s">
        <v>11</v>
      </c>
      <c r="H27" s="23" t="s">
        <v>7</v>
      </c>
      <c r="I27" s="24">
        <f>IF('ENCODAGE DE MON PROJET'!E51="OUI",20,0)</f>
        <v>0</v>
      </c>
      <c r="J27" s="23"/>
      <c r="K27" s="1" t="s">
        <v>8</v>
      </c>
      <c r="L27" s="47">
        <f>I27*F27</f>
        <v>0</v>
      </c>
      <c r="M27" s="23"/>
      <c r="N27" s="56"/>
      <c r="O27" s="23"/>
    </row>
    <row r="28" spans="3:23" ht="14.4">
      <c r="C28" s="60"/>
      <c r="D28" s="57" t="s">
        <v>229</v>
      </c>
      <c r="E28" s="58">
        <f>E24</f>
        <v>0</v>
      </c>
      <c r="F28" s="44"/>
      <c r="G28" s="23"/>
      <c r="H28" s="23"/>
      <c r="I28" s="24"/>
      <c r="J28" s="23"/>
      <c r="L28" s="47"/>
      <c r="M28" s="23"/>
      <c r="N28" s="56"/>
      <c r="O28" s="23"/>
    </row>
    <row r="29" spans="3:23" ht="14.4">
      <c r="C29" s="60"/>
      <c r="D29" s="57" t="s">
        <v>57</v>
      </c>
      <c r="E29" s="58">
        <f>E25</f>
        <v>0</v>
      </c>
      <c r="F29" s="44"/>
      <c r="G29" s="23"/>
      <c r="H29" s="23"/>
      <c r="I29" s="24"/>
      <c r="J29" s="23"/>
      <c r="L29" s="47"/>
      <c r="M29" s="23"/>
      <c r="N29" s="56"/>
      <c r="O29" s="23"/>
    </row>
    <row r="30" spans="3:23" ht="14.4">
      <c r="C30" s="60"/>
      <c r="D30" s="57" t="s">
        <v>58</v>
      </c>
      <c r="E30" s="58">
        <f>E26</f>
        <v>0</v>
      </c>
      <c r="F30" s="44"/>
      <c r="G30" s="23"/>
      <c r="H30" s="23"/>
      <c r="I30" s="24"/>
      <c r="J30" s="23"/>
      <c r="L30" s="47"/>
      <c r="M30" s="23"/>
      <c r="N30" s="56"/>
      <c r="O30" s="23"/>
    </row>
    <row r="31" spans="3:23" ht="14.4">
      <c r="C31" s="60" t="s">
        <v>223</v>
      </c>
      <c r="D31" s="42" t="s">
        <v>231</v>
      </c>
      <c r="E31" s="42"/>
      <c r="F31" s="22">
        <f>SUM(E32:E34)</f>
        <v>0</v>
      </c>
      <c r="G31" s="23" t="s">
        <v>11</v>
      </c>
      <c r="H31" s="23" t="s">
        <v>7</v>
      </c>
      <c r="I31" s="24">
        <f>IF('ENCODAGE DE MON PROJET'!E53="Classe I",35,IF('ENCODAGE DE MON PROJET'!E53="Classe II",55,IF('ENCODAGE DE MON PROJET'!E53="Classe III",75)))</f>
        <v>35</v>
      </c>
      <c r="J31" s="23"/>
      <c r="K31" s="1" t="s">
        <v>8</v>
      </c>
      <c r="L31" s="47">
        <f>I31*F31</f>
        <v>0</v>
      </c>
      <c r="M31" s="23"/>
      <c r="N31" s="56"/>
      <c r="O31" s="23"/>
    </row>
    <row r="32" spans="3:23" ht="14.4">
      <c r="C32" s="60"/>
      <c r="D32" s="57" t="s">
        <v>229</v>
      </c>
      <c r="E32" s="58">
        <f>IF(OR('ENCODAGE DE MON PROJET'!E61="OUI",'ENCODAGE DE MON PROJET'!E62="OUI"), 'ENCODAGE DE MON PROJET'!E64,0)</f>
        <v>0</v>
      </c>
      <c r="F32" s="44"/>
      <c r="G32" s="23"/>
      <c r="H32" s="23"/>
      <c r="I32" s="24"/>
      <c r="J32" s="23"/>
      <c r="L32" s="47"/>
      <c r="M32" s="23"/>
      <c r="N32" s="56"/>
      <c r="O32" s="23"/>
    </row>
    <row r="33" spans="3:15" ht="14.4">
      <c r="C33" s="60"/>
      <c r="D33" s="57" t="s">
        <v>57</v>
      </c>
      <c r="E33" s="58">
        <f>E25</f>
        <v>0</v>
      </c>
      <c r="F33" s="44"/>
      <c r="G33" s="23"/>
      <c r="H33" s="23"/>
      <c r="I33" s="24"/>
      <c r="J33" s="23"/>
      <c r="L33" s="47"/>
      <c r="M33" s="23"/>
      <c r="N33" s="56"/>
      <c r="O33" s="23"/>
    </row>
    <row r="34" spans="3:15" ht="14.4">
      <c r="C34" s="60"/>
      <c r="D34" s="57" t="s">
        <v>58</v>
      </c>
      <c r="E34" s="58">
        <f>E26</f>
        <v>0</v>
      </c>
      <c r="F34" s="44"/>
      <c r="G34" s="23"/>
      <c r="H34" s="23"/>
      <c r="I34" s="24"/>
      <c r="J34" s="23"/>
      <c r="L34" s="47"/>
      <c r="M34" s="23"/>
      <c r="N34" s="56"/>
      <c r="O34" s="23"/>
    </row>
    <row r="35" spans="3:15" ht="14.4">
      <c r="C35" s="60" t="s">
        <v>223</v>
      </c>
      <c r="D35" s="42" t="s">
        <v>239</v>
      </c>
      <c r="E35" s="42"/>
      <c r="F35" s="22">
        <f>SUM(E36:E38)</f>
        <v>0</v>
      </c>
      <c r="G35" s="23" t="s">
        <v>11</v>
      </c>
      <c r="H35" s="23" t="s">
        <v>7</v>
      </c>
      <c r="I35" s="24">
        <f>IF('ENCODAGE DE MON PROJET'!E51="OUI",10,0)</f>
        <v>0</v>
      </c>
      <c r="J35" s="23"/>
      <c r="K35" s="1" t="s">
        <v>8</v>
      </c>
      <c r="L35" s="47">
        <f>I35*F35</f>
        <v>0</v>
      </c>
      <c r="M35" s="23"/>
      <c r="N35" s="56"/>
      <c r="O35" s="23"/>
    </row>
    <row r="36" spans="3:15" ht="14.4">
      <c r="C36" s="60"/>
      <c r="D36" s="57" t="s">
        <v>229</v>
      </c>
      <c r="E36" s="58">
        <f>E32</f>
        <v>0</v>
      </c>
      <c r="F36" s="44"/>
      <c r="G36" s="23"/>
      <c r="H36" s="23"/>
      <c r="I36" s="24"/>
      <c r="J36" s="23"/>
      <c r="L36" s="47"/>
      <c r="M36" s="23"/>
      <c r="N36" s="56"/>
      <c r="O36" s="23"/>
    </row>
    <row r="37" spans="3:15" ht="14.4">
      <c r="C37" s="60"/>
      <c r="D37" s="57" t="s">
        <v>57</v>
      </c>
      <c r="E37" s="58">
        <f>E25</f>
        <v>0</v>
      </c>
      <c r="F37" s="44"/>
      <c r="G37" s="23"/>
      <c r="H37" s="23"/>
      <c r="I37" s="24"/>
      <c r="J37" s="23"/>
      <c r="L37" s="47"/>
      <c r="M37" s="23"/>
      <c r="N37" s="56"/>
      <c r="O37" s="23"/>
    </row>
    <row r="38" spans="3:15" ht="14.4">
      <c r="C38" s="60"/>
      <c r="D38" s="57" t="s">
        <v>58</v>
      </c>
      <c r="E38" s="58">
        <f>E26</f>
        <v>0</v>
      </c>
      <c r="F38" s="44"/>
      <c r="G38" s="23"/>
      <c r="H38" s="23"/>
      <c r="I38" s="24"/>
      <c r="J38" s="23"/>
      <c r="L38" s="47"/>
      <c r="M38" s="23"/>
      <c r="N38" s="56"/>
      <c r="O38" s="23"/>
    </row>
    <row r="39" spans="3:15" ht="14.4">
      <c r="C39" s="60" t="s">
        <v>223</v>
      </c>
      <c r="D39" s="42" t="s">
        <v>232</v>
      </c>
      <c r="E39" s="42"/>
      <c r="F39" s="161">
        <f>IF('ENCODAGE DE MON PROJET'!E53="Classe I",30%,IF('ENCODAGE DE MON PROJET'!E53="Classe II",40%,IF('ENCODAGE DE MON PROJET'!E53="Classe III",50%)))</f>
        <v>0.3</v>
      </c>
      <c r="G39" s="23"/>
      <c r="H39" s="23" t="s">
        <v>7</v>
      </c>
      <c r="I39" s="24">
        <f>IF(AND('ENCODAGE DE MON PROJET'!E61="NON",'ENCODAGE DE MON PROJET'!E84="NON",'ENCODAGE DE MON PROJET'!E103="NON"),0,SUM(E40:E42))</f>
        <v>0</v>
      </c>
      <c r="J39" s="23"/>
      <c r="K39" s="1" t="s">
        <v>8</v>
      </c>
      <c r="L39" s="47">
        <f>I39*F39</f>
        <v>0</v>
      </c>
      <c r="M39" s="23"/>
      <c r="N39" s="56"/>
      <c r="O39" s="23"/>
    </row>
    <row r="40" spans="3:15" ht="14.4">
      <c r="C40" s="60"/>
      <c r="D40" s="57" t="s">
        <v>454</v>
      </c>
      <c r="E40" s="58">
        <f>ESTIMATIF!L26+ESTIMATIF!L97+ESTIMATIF!L101+ESTIMATIF!L102+ESTIMATIF!L103+ESTIMATIF!L115+ESTIMATIF!L120+ESTIMATIF!L123+ESTIMATIF!L126+ESTIMATIF!L98+ESTIMATIF!L116</f>
        <v>0</v>
      </c>
      <c r="F40" s="44"/>
      <c r="G40" s="23"/>
      <c r="H40" s="23"/>
      <c r="I40" s="24"/>
      <c r="J40" s="23"/>
      <c r="L40" s="47"/>
      <c r="M40" s="23"/>
      <c r="N40" s="56"/>
      <c r="O40" s="23"/>
    </row>
    <row r="41" spans="3:15" ht="14.4">
      <c r="C41" s="60"/>
      <c r="D41" s="57" t="s">
        <v>456</v>
      </c>
      <c r="E41" s="58">
        <f>SUM(ESTIMATIF!L137:'ESTIMATIF'!L138)</f>
        <v>0</v>
      </c>
      <c r="F41" s="44"/>
      <c r="G41" s="23"/>
      <c r="H41" s="23"/>
      <c r="I41" s="24"/>
      <c r="J41" s="23"/>
      <c r="L41" s="47"/>
      <c r="M41" s="23"/>
      <c r="N41" s="56"/>
      <c r="O41" s="23"/>
    </row>
    <row r="42" spans="3:15" ht="14.4">
      <c r="C42" s="60"/>
      <c r="D42" s="57" t="s">
        <v>455</v>
      </c>
      <c r="E42" s="58">
        <f>SUM(ESTIMATIF!L139:'ESTIMATIF'!L140)</f>
        <v>0</v>
      </c>
      <c r="F42" s="44"/>
      <c r="G42" s="23"/>
      <c r="H42" s="23"/>
      <c r="I42" s="24"/>
      <c r="J42" s="23"/>
      <c r="L42" s="47"/>
      <c r="M42" s="23"/>
      <c r="N42" s="56"/>
      <c r="O42" s="23"/>
    </row>
    <row r="43" spans="3:15" ht="14.4">
      <c r="C43" s="60"/>
      <c r="F43" s="81"/>
      <c r="G43" s="23"/>
      <c r="H43" s="23"/>
      <c r="I43" s="24"/>
      <c r="J43" s="23"/>
      <c r="L43" s="47"/>
      <c r="M43" s="23"/>
    </row>
    <row r="44" spans="3:15" ht="14.4">
      <c r="C44" s="65" t="s">
        <v>234</v>
      </c>
      <c r="D44" s="43" t="s">
        <v>235</v>
      </c>
      <c r="E44" s="43"/>
      <c r="F44"/>
      <c r="G44" s="23"/>
      <c r="H44"/>
      <c r="I44"/>
      <c r="L44" s="46"/>
    </row>
    <row r="45" spans="3:15" ht="14.4">
      <c r="C45" s="60" t="s">
        <v>223</v>
      </c>
      <c r="D45" s="42" t="s">
        <v>236</v>
      </c>
      <c r="E45" s="42"/>
      <c r="F45" s="22">
        <f>IF('ENCODAGE DE MON PROJET'!E124="NON", 0, 'ENCODAGE DE MON PROJET'!E125)</f>
        <v>0</v>
      </c>
      <c r="G45" s="23" t="s">
        <v>11</v>
      </c>
      <c r="H45" s="23" t="s">
        <v>7</v>
      </c>
      <c r="I45" s="24">
        <f>IF('ENCODAGE DE MON PROJET'!E53="Classe I",35,IF('ENCODAGE DE MON PROJET'!E53="Classe II",40,IF('ENCODAGE DE MON PROJET'!E53="Classe III",45)))</f>
        <v>35</v>
      </c>
      <c r="J45" s="23"/>
      <c r="K45" s="1" t="s">
        <v>8</v>
      </c>
      <c r="L45" s="47">
        <f>I45*F45</f>
        <v>0</v>
      </c>
      <c r="M45" s="23"/>
      <c r="N45" s="56"/>
      <c r="O45" s="23"/>
    </row>
    <row r="46" spans="3:15" ht="14.4">
      <c r="C46" s="60" t="s">
        <v>223</v>
      </c>
      <c r="D46" s="42" t="s">
        <v>237</v>
      </c>
      <c r="E46" s="42"/>
      <c r="F46" s="22">
        <f>SUM(E47:E50)</f>
        <v>0</v>
      </c>
      <c r="G46" s="23" t="s">
        <v>11</v>
      </c>
      <c r="H46" s="23" t="s">
        <v>7</v>
      </c>
      <c r="I46" s="24">
        <f>IF('ENCODAGE DE MON PROJET'!E53="Classe I",50,IF('ENCODAGE DE MON PROJET'!E53="Classe II",70,IF('ENCODAGE DE MON PROJET'!E53="Classe III",90)))</f>
        <v>50</v>
      </c>
      <c r="J46" s="23"/>
      <c r="K46" s="1" t="s">
        <v>8</v>
      </c>
      <c r="L46" s="47">
        <f>I46*F46</f>
        <v>0</v>
      </c>
      <c r="M46" s="23"/>
      <c r="N46" s="56"/>
      <c r="O46" s="23"/>
    </row>
    <row r="47" spans="3:15" ht="14.4">
      <c r="C47" s="60"/>
      <c r="D47" s="57" t="s">
        <v>52</v>
      </c>
      <c r="E47" s="58">
        <f>IF('ENCODAGE DE MON PROJET'!E123="NON", 0, 'ENCODAGE DE MON PROJET'!E125)</f>
        <v>0</v>
      </c>
      <c r="F47" s="44"/>
      <c r="G47" s="23"/>
      <c r="H47" s="23"/>
      <c r="I47" s="24"/>
      <c r="J47" s="23"/>
      <c r="L47" s="47"/>
      <c r="M47" s="23"/>
      <c r="N47" s="56"/>
      <c r="O47" s="23"/>
    </row>
    <row r="48" spans="3:15" ht="14.4">
      <c r="C48" s="60"/>
      <c r="D48" s="57" t="s">
        <v>53</v>
      </c>
      <c r="E48" s="58">
        <f>IF('ENCODAGE DE MON PROJET'!E153="NON", 0, 'ENCODAGE DE MON PROJET'!E154)</f>
        <v>0</v>
      </c>
      <c r="F48" s="44"/>
      <c r="G48" s="23"/>
      <c r="H48" s="23"/>
      <c r="I48" s="24"/>
      <c r="J48" s="23"/>
      <c r="L48" s="47"/>
      <c r="M48" s="23"/>
      <c r="N48" s="56"/>
      <c r="O48" s="23"/>
    </row>
    <row r="49" spans="3:15" ht="14.4">
      <c r="C49" s="60"/>
      <c r="D49" s="57" t="s">
        <v>54</v>
      </c>
      <c r="E49" s="58">
        <f>IF('ENCODAGE DE MON PROJET'!E172="NON", 0, 'ENCODAGE DE MON PROJET'!E173)</f>
        <v>0</v>
      </c>
      <c r="F49" s="44"/>
      <c r="G49" s="23"/>
      <c r="H49" s="23"/>
      <c r="I49" s="24"/>
      <c r="J49" s="23"/>
      <c r="L49" s="47"/>
      <c r="M49" s="23"/>
      <c r="N49" s="56"/>
      <c r="O49" s="23"/>
    </row>
    <row r="50" spans="3:15" ht="14.4">
      <c r="C50" s="60"/>
      <c r="D50" s="57" t="s">
        <v>453</v>
      </c>
      <c r="E50" s="58">
        <f>IF('ENCODAGE DE MON PROJET'!E191="NON", 0, 'ENCODAGE DE MON PROJET'!E192)</f>
        <v>0</v>
      </c>
      <c r="F50" s="44"/>
      <c r="G50" s="23"/>
      <c r="H50" s="23"/>
      <c r="I50" s="24"/>
      <c r="J50" s="23"/>
      <c r="L50" s="47"/>
      <c r="M50" s="23"/>
      <c r="N50" s="56"/>
      <c r="O50" s="23"/>
    </row>
    <row r="51" spans="3:15" ht="14.4">
      <c r="C51" s="60" t="s">
        <v>223</v>
      </c>
      <c r="D51" s="42" t="s">
        <v>240</v>
      </c>
      <c r="E51" s="42"/>
      <c r="F51" s="22">
        <f>SUM(E52:E55)</f>
        <v>0</v>
      </c>
      <c r="G51" s="23" t="s">
        <v>11</v>
      </c>
      <c r="H51" s="23" t="s">
        <v>7</v>
      </c>
      <c r="I51" s="24">
        <f>IF('ENCODAGE DE MON PROJET'!E51="OUI",10,0)</f>
        <v>0</v>
      </c>
      <c r="J51" s="23"/>
      <c r="K51" s="1" t="s">
        <v>8</v>
      </c>
      <c r="L51" s="47">
        <f>I51*F51</f>
        <v>0</v>
      </c>
      <c r="M51" s="23"/>
      <c r="N51" s="56"/>
      <c r="O51" s="23"/>
    </row>
    <row r="52" spans="3:15" ht="14.4">
      <c r="C52" s="60"/>
      <c r="D52" s="57" t="s">
        <v>52</v>
      </c>
      <c r="E52" s="58">
        <f>E47</f>
        <v>0</v>
      </c>
      <c r="F52" s="44"/>
      <c r="G52" s="23"/>
      <c r="H52" s="23"/>
      <c r="I52" s="24"/>
      <c r="J52" s="23"/>
      <c r="L52" s="47"/>
      <c r="M52" s="23"/>
      <c r="N52" s="56"/>
      <c r="O52" s="23"/>
    </row>
    <row r="53" spans="3:15" ht="14.4">
      <c r="C53" s="60"/>
      <c r="D53" s="57" t="s">
        <v>53</v>
      </c>
      <c r="E53" s="58">
        <f>E48</f>
        <v>0</v>
      </c>
      <c r="F53" s="44"/>
      <c r="G53" s="23"/>
      <c r="H53" s="23"/>
      <c r="I53" s="24"/>
      <c r="J53" s="23"/>
      <c r="L53" s="47"/>
      <c r="M53" s="23"/>
      <c r="N53" s="56"/>
      <c r="O53" s="23"/>
    </row>
    <row r="54" spans="3:15" ht="14.4">
      <c r="C54" s="60"/>
      <c r="D54" s="57" t="s">
        <v>54</v>
      </c>
      <c r="E54" s="58">
        <f>E49</f>
        <v>0</v>
      </c>
      <c r="F54" s="44"/>
      <c r="G54" s="23"/>
      <c r="H54" s="23"/>
      <c r="I54" s="24"/>
      <c r="J54" s="23"/>
      <c r="L54" s="47"/>
      <c r="M54" s="23"/>
      <c r="N54" s="56"/>
      <c r="O54" s="23"/>
    </row>
    <row r="55" spans="3:15" ht="14.4">
      <c r="C55" s="60"/>
      <c r="D55" s="57" t="s">
        <v>453</v>
      </c>
      <c r="E55" s="58">
        <f>E50</f>
        <v>0</v>
      </c>
      <c r="F55" s="44"/>
      <c r="G55" s="23"/>
      <c r="H55" s="23"/>
      <c r="I55" s="24"/>
      <c r="J55" s="23"/>
      <c r="L55" s="47"/>
      <c r="M55" s="23"/>
      <c r="N55" s="56"/>
      <c r="O55" s="23"/>
    </row>
    <row r="56" spans="3:15" ht="14.4">
      <c r="C56" s="60" t="s">
        <v>223</v>
      </c>
      <c r="D56" s="42" t="s">
        <v>241</v>
      </c>
      <c r="E56" s="42"/>
      <c r="F56" s="22">
        <f>SUM(E57:E60)</f>
        <v>0</v>
      </c>
      <c r="G56" s="23" t="s">
        <v>11</v>
      </c>
      <c r="H56" s="23" t="s">
        <v>7</v>
      </c>
      <c r="I56" s="24">
        <f>IF('ENCODAGE DE MON PROJET'!E53="Classe I",40,IF('ENCODAGE DE MON PROJET'!E53="Classe II",45,IF('ENCODAGE DE MON PROJET'!E53="Classe III",50)))</f>
        <v>40</v>
      </c>
      <c r="J56" s="23"/>
      <c r="K56" s="1" t="s">
        <v>8</v>
      </c>
      <c r="L56" s="47">
        <f>I56*F56</f>
        <v>0</v>
      </c>
      <c r="M56" s="23"/>
      <c r="N56" s="56"/>
      <c r="O56" s="23"/>
    </row>
    <row r="57" spans="3:15" ht="14.4">
      <c r="C57" s="60"/>
      <c r="D57" s="57" t="s">
        <v>52</v>
      </c>
      <c r="E57" s="58">
        <f>E47</f>
        <v>0</v>
      </c>
      <c r="F57" s="44"/>
      <c r="G57" s="23"/>
      <c r="H57" s="23"/>
      <c r="I57" s="24"/>
      <c r="J57" s="23"/>
      <c r="L57" s="47"/>
      <c r="M57" s="23"/>
      <c r="N57" s="56"/>
      <c r="O57" s="23"/>
    </row>
    <row r="58" spans="3:15" ht="14.4">
      <c r="C58" s="60"/>
      <c r="D58" s="57" t="s">
        <v>53</v>
      </c>
      <c r="E58" s="58">
        <f>E48</f>
        <v>0</v>
      </c>
      <c r="F58" s="44"/>
      <c r="G58" s="23"/>
      <c r="H58" s="23"/>
      <c r="I58" s="24"/>
      <c r="J58" s="23"/>
      <c r="L58" s="47"/>
      <c r="M58" s="23"/>
      <c r="N58" s="56"/>
      <c r="O58" s="23"/>
    </row>
    <row r="59" spans="3:15" ht="14.4">
      <c r="C59" s="60"/>
      <c r="D59" s="57" t="s">
        <v>54</v>
      </c>
      <c r="E59" s="58">
        <f>E49</f>
        <v>0</v>
      </c>
      <c r="F59" s="44"/>
      <c r="G59" s="23"/>
      <c r="H59" s="23"/>
      <c r="I59" s="24"/>
      <c r="J59" s="23"/>
      <c r="L59" s="47"/>
      <c r="M59" s="23"/>
      <c r="N59" s="56"/>
      <c r="O59" s="23"/>
    </row>
    <row r="60" spans="3:15" ht="14.4">
      <c r="C60" s="60"/>
      <c r="D60" s="57" t="s">
        <v>453</v>
      </c>
      <c r="E60" s="58">
        <f>E55</f>
        <v>0</v>
      </c>
      <c r="F60" s="44"/>
      <c r="G60" s="23"/>
      <c r="H60" s="23"/>
      <c r="I60" s="24"/>
      <c r="J60" s="23"/>
      <c r="L60" s="47"/>
      <c r="M60" s="23"/>
      <c r="N60" s="56"/>
      <c r="O60" s="23"/>
    </row>
    <row r="61" spans="3:15" ht="14.4">
      <c r="C61" s="60"/>
      <c r="F61" s="81"/>
      <c r="G61" s="23"/>
      <c r="H61" s="23"/>
      <c r="I61" s="24"/>
      <c r="J61" s="23"/>
      <c r="L61" s="47"/>
      <c r="M61" s="23"/>
    </row>
    <row r="62" spans="3:15" ht="14.4">
      <c r="C62" s="65" t="s">
        <v>242</v>
      </c>
      <c r="D62" s="43" t="s">
        <v>243</v>
      </c>
      <c r="E62" s="43"/>
      <c r="F62"/>
      <c r="G62" s="23"/>
      <c r="H62"/>
      <c r="I62"/>
      <c r="L62" s="46"/>
    </row>
    <row r="63" spans="3:15" ht="14.4">
      <c r="C63" s="60" t="s">
        <v>223</v>
      </c>
      <c r="D63" s="42" t="s">
        <v>244</v>
      </c>
      <c r="E63" s="42"/>
      <c r="F63" s="22">
        <f>IF('ENCODAGE DE MON PROJET'!E251="NON", 0, SUM(E64:E65))</f>
        <v>0</v>
      </c>
      <c r="G63" s="23" t="s">
        <v>11</v>
      </c>
      <c r="H63" s="23" t="s">
        <v>7</v>
      </c>
      <c r="I63" s="24">
        <f>IF('ENCODAGE DE MON PROJET'!E53="Classe I",100,IF('ENCODAGE DE MON PROJET'!E53="Classe II",120,IF('ENCODAGE DE MON PROJET'!E53="Classe III",140)))</f>
        <v>100</v>
      </c>
      <c r="J63" s="23"/>
      <c r="K63" s="1" t="s">
        <v>8</v>
      </c>
      <c r="L63" s="47">
        <f>I63*F63</f>
        <v>0</v>
      </c>
      <c r="M63" s="23"/>
      <c r="N63" s="56"/>
      <c r="O63" s="23"/>
    </row>
    <row r="64" spans="3:15" ht="14.4">
      <c r="C64" s="60"/>
      <c r="D64" s="57" t="s">
        <v>247</v>
      </c>
      <c r="E64" s="58">
        <f>IF('ENCODAGE DE MON PROJET'!E251="NON", 0, 'ENCODAGE DE MON PROJET'!E256)</f>
        <v>0</v>
      </c>
      <c r="F64" s="44"/>
      <c r="G64" s="23"/>
      <c r="H64" s="23"/>
      <c r="I64" s="24"/>
      <c r="J64" s="23"/>
      <c r="L64" s="47"/>
      <c r="M64" s="23"/>
      <c r="N64" s="56"/>
      <c r="O64" s="23"/>
    </row>
    <row r="65" spans="3:15" ht="14.4">
      <c r="C65" s="60"/>
      <c r="D65" s="57" t="s">
        <v>248</v>
      </c>
      <c r="E65" s="58">
        <f>IF('ENCODAGE DE MON PROJET'!E274="NON", 0,2)</f>
        <v>0</v>
      </c>
      <c r="F65" s="44"/>
      <c r="G65" s="23"/>
      <c r="H65" s="23"/>
      <c r="I65" s="24"/>
      <c r="J65" s="23"/>
      <c r="L65" s="47"/>
      <c r="M65" s="23"/>
      <c r="N65" s="56"/>
      <c r="O65" s="23"/>
    </row>
    <row r="66" spans="3:15" ht="14.4">
      <c r="C66" s="60" t="s">
        <v>223</v>
      </c>
      <c r="D66" s="42" t="s">
        <v>246</v>
      </c>
      <c r="E66" s="42"/>
      <c r="F66" s="22">
        <f>F63</f>
        <v>0</v>
      </c>
      <c r="G66" s="23" t="s">
        <v>11</v>
      </c>
      <c r="H66" s="23" t="s">
        <v>7</v>
      </c>
      <c r="I66" s="24">
        <f>IF('ENCODAGE DE MON PROJET'!E51="OUI",100,0)</f>
        <v>0</v>
      </c>
      <c r="J66" s="23"/>
      <c r="K66" s="1" t="s">
        <v>8</v>
      </c>
      <c r="L66" s="47">
        <f>I66*F66</f>
        <v>0</v>
      </c>
      <c r="M66" s="23"/>
      <c r="N66" s="56"/>
      <c r="O66" s="23"/>
    </row>
    <row r="67" spans="3:15" ht="14.4">
      <c r="C67" s="60"/>
      <c r="D67" s="57" t="s">
        <v>247</v>
      </c>
      <c r="E67" s="58">
        <f>E64</f>
        <v>0</v>
      </c>
      <c r="F67" s="44"/>
      <c r="G67" s="23"/>
      <c r="H67" s="23"/>
      <c r="I67" s="24"/>
      <c r="J67" s="23"/>
      <c r="L67" s="47"/>
      <c r="M67" s="23"/>
      <c r="N67" s="56"/>
      <c r="O67" s="23"/>
    </row>
    <row r="68" spans="3:15" ht="14.4">
      <c r="C68" s="60"/>
      <c r="D68" s="57" t="s">
        <v>248</v>
      </c>
      <c r="E68" s="58">
        <f>E65</f>
        <v>0</v>
      </c>
      <c r="F68" s="44"/>
      <c r="G68" s="23"/>
      <c r="H68" s="23"/>
      <c r="I68" s="24"/>
      <c r="J68" s="23"/>
      <c r="L68" s="47"/>
      <c r="M68" s="23"/>
      <c r="N68" s="56"/>
      <c r="O68" s="23"/>
    </row>
    <row r="69" spans="3:15" ht="14.4">
      <c r="C69" s="60"/>
      <c r="F69" s="81"/>
      <c r="G69" s="23"/>
      <c r="H69" s="23"/>
      <c r="I69" s="24"/>
      <c r="J69" s="23"/>
      <c r="L69" s="47"/>
      <c r="M69" s="23"/>
    </row>
    <row r="70" spans="3:15" ht="14.4">
      <c r="C70" s="65" t="s">
        <v>251</v>
      </c>
      <c r="D70" s="43" t="s">
        <v>249</v>
      </c>
      <c r="E70" s="43"/>
      <c r="F70"/>
      <c r="G70" s="23"/>
      <c r="H70"/>
      <c r="I70"/>
      <c r="L70" s="46"/>
    </row>
    <row r="71" spans="3:15" ht="14.4">
      <c r="C71" s="60" t="s">
        <v>223</v>
      </c>
      <c r="D71" s="42" t="s">
        <v>250</v>
      </c>
      <c r="E71" s="42"/>
      <c r="F71" s="22">
        <f>IF(AND('ENCODAGE DE MON PROJET'!E211="NON",'ENCODAGE DE MON PROJET'!E230="NON"), 0,'ENCODAGE DE MON PROJET'!E212+'ENCODAGE DE MON PROJET'!E232)</f>
        <v>0</v>
      </c>
      <c r="G71" s="23" t="s">
        <v>11</v>
      </c>
      <c r="H71" s="23" t="s">
        <v>7</v>
      </c>
      <c r="I71" s="24">
        <f>IF('ENCODAGE DE MON PROJET'!E53="Classe I",35,IF('ENCODAGE DE MON PROJET'!E53="Classe II",40,IF('ENCODAGE DE MON PROJET'!E53="Classe III",45)))</f>
        <v>35</v>
      </c>
      <c r="J71" s="23"/>
      <c r="K71" s="1" t="s">
        <v>8</v>
      </c>
      <c r="L71" s="47">
        <f>I71*F71</f>
        <v>0</v>
      </c>
      <c r="M71" s="23"/>
      <c r="N71" s="56"/>
      <c r="O71" s="23"/>
    </row>
    <row r="72" spans="3:15" ht="14.4">
      <c r="C72" s="60" t="s">
        <v>223</v>
      </c>
      <c r="D72" s="42" t="s">
        <v>254</v>
      </c>
      <c r="E72" s="42"/>
      <c r="F72" s="22">
        <f>IF('ENCODAGE DE MON PROJET'!E230="NON", 0, IF('ENCODAGE DE MON PROJET'!E231="gîtage bois",'ENCODAGE DE MON PROJET'!E232,0))</f>
        <v>0</v>
      </c>
      <c r="G72" s="23" t="s">
        <v>11</v>
      </c>
      <c r="H72" s="23" t="s">
        <v>7</v>
      </c>
      <c r="I72" s="24">
        <v>10</v>
      </c>
      <c r="J72" s="23"/>
      <c r="K72" s="1" t="s">
        <v>8</v>
      </c>
      <c r="L72" s="47">
        <f>I72*F72</f>
        <v>0</v>
      </c>
      <c r="M72" s="23"/>
      <c r="N72" s="56"/>
      <c r="O72" s="23"/>
    </row>
    <row r="73" spans="3:15" ht="14.4">
      <c r="C73" s="60"/>
      <c r="F73" s="81"/>
      <c r="G73" s="23"/>
      <c r="H73" s="23"/>
      <c r="I73" s="24"/>
      <c r="J73" s="23"/>
      <c r="L73" s="47"/>
      <c r="M73" s="23"/>
    </row>
    <row r="74" spans="3:15" ht="14.4">
      <c r="C74" s="65" t="s">
        <v>252</v>
      </c>
      <c r="D74" s="43" t="s">
        <v>253</v>
      </c>
      <c r="E74" s="43"/>
      <c r="F74"/>
      <c r="G74" s="23"/>
      <c r="H74"/>
      <c r="I74"/>
      <c r="L74" s="46"/>
    </row>
    <row r="75" spans="3:15" ht="14.4">
      <c r="C75" s="60" t="s">
        <v>223</v>
      </c>
      <c r="D75" s="42" t="s">
        <v>256</v>
      </c>
      <c r="E75" s="42"/>
      <c r="F75" s="22">
        <f>IF(AND('ENCODAGE DE MON PROJET'!E333="OUI",'ENCODAGE DE MON PROJET'!E334="pompe à chaleur"),1,0)</f>
        <v>0</v>
      </c>
      <c r="G75" s="23" t="s">
        <v>0</v>
      </c>
      <c r="H75" s="23" t="s">
        <v>7</v>
      </c>
      <c r="I75" s="24">
        <f>IF('ENCODAGE DE MON PROJET'!E53="Classe I",4000,IF('ENCODAGE DE MON PROJET'!E53="Classe II",4750,IF('ENCODAGE DE MON PROJET'!E53="Classe III",5000)))</f>
        <v>4000</v>
      </c>
      <c r="J75" s="23"/>
      <c r="K75" s="1" t="s">
        <v>8</v>
      </c>
      <c r="L75" s="47">
        <f>I75*F75</f>
        <v>0</v>
      </c>
      <c r="M75" s="23"/>
      <c r="N75" s="56"/>
      <c r="O75" s="23"/>
    </row>
    <row r="76" spans="3:15" ht="14.4">
      <c r="C76" s="60" t="s">
        <v>223</v>
      </c>
      <c r="D76" s="42" t="s">
        <v>255</v>
      </c>
      <c r="E76" s="42"/>
      <c r="F76" s="22">
        <f>IF(AND('ENCODAGE DE MON PROJET'!E333="OUI",'ENCODAGE DE MON PROJET'!E334="pompe à chaleur"),'ENCODAGE DE MON PROJET'!E335,0)</f>
        <v>0</v>
      </c>
      <c r="G76" s="23" t="s">
        <v>12</v>
      </c>
      <c r="H76" s="23" t="s">
        <v>7</v>
      </c>
      <c r="I76" s="24">
        <f>IF('ENCODAGE DE MON PROJET'!E53="Classe I",75,IF('ENCODAGE DE MON PROJET'!E53="Classe II",125,IF('ENCODAGE DE MON PROJET'!E53="Classe III",200)))</f>
        <v>75</v>
      </c>
      <c r="J76" s="23"/>
      <c r="K76" s="1" t="s">
        <v>8</v>
      </c>
      <c r="L76" s="47">
        <f>I76*F76</f>
        <v>0</v>
      </c>
      <c r="M76" s="23"/>
      <c r="N76" s="56"/>
      <c r="O76" s="23"/>
    </row>
    <row r="77" spans="3:15" ht="14.4">
      <c r="C77" s="60" t="s">
        <v>223</v>
      </c>
      <c r="D77" s="42" t="s">
        <v>257</v>
      </c>
      <c r="E77" s="42"/>
      <c r="F77" s="22">
        <f>IF(AND('ENCODAGE DE MON PROJET'!E333="OUI",'ENCODAGE DE MON PROJET'!E334="pompe à chaleur"),'ENCODAGE DE MON PROJET'!E335,0)</f>
        <v>0</v>
      </c>
      <c r="G77" s="23" t="s">
        <v>12</v>
      </c>
      <c r="H77" s="23" t="s">
        <v>7</v>
      </c>
      <c r="I77" s="24">
        <f>IF('ENCODAGE DE MON PROJET'!E53="Classe I",15,IF('ENCODAGE DE MON PROJET'!E53="Classe II",25,IF('ENCODAGE DE MON PROJET'!E53="Classe III",40)))</f>
        <v>15</v>
      </c>
      <c r="J77" s="23"/>
      <c r="K77" s="1" t="s">
        <v>8</v>
      </c>
      <c r="L77" s="47">
        <f>I77*F77</f>
        <v>0</v>
      </c>
      <c r="M77" s="23"/>
      <c r="N77" s="56"/>
      <c r="O77" s="23"/>
    </row>
    <row r="78" spans="3:15" ht="14.4">
      <c r="C78" s="60" t="s">
        <v>223</v>
      </c>
      <c r="D78" s="42" t="s">
        <v>258</v>
      </c>
      <c r="E78" s="42"/>
      <c r="F78" s="22">
        <f>IF('ENCODAGE DE MON PROJET'!E333="OUI",1,0)</f>
        <v>0</v>
      </c>
      <c r="G78" s="23" t="s">
        <v>0</v>
      </c>
      <c r="H78" s="23" t="s">
        <v>7</v>
      </c>
      <c r="I78" s="24">
        <f>IF('ENCODAGE DE MON PROJET'!E53="Classe I",40,IF('ENCODAGE DE MON PROJET'!E53="Classe II",70,IF('ENCODAGE DE MON PROJET'!E53="Classe III",100)))</f>
        <v>40</v>
      </c>
      <c r="J78" s="23"/>
      <c r="K78" s="1" t="s">
        <v>8</v>
      </c>
      <c r="L78" s="47">
        <f>I78*F78</f>
        <v>0</v>
      </c>
      <c r="M78" s="23"/>
      <c r="N78" s="56"/>
      <c r="O78" s="23"/>
    </row>
    <row r="79" spans="3:15" ht="14.4">
      <c r="C79" s="60" t="s">
        <v>223</v>
      </c>
      <c r="D79" s="42" t="s">
        <v>259</v>
      </c>
      <c r="E79" s="42"/>
      <c r="F79" s="22">
        <f>IF(AND('ENCODAGE DE MON PROJET'!E333="OUI",'ENCODAGE DE MON PROJET'!E334="pompe à chaleur"),1,0)</f>
        <v>0</v>
      </c>
      <c r="G79" s="23" t="s">
        <v>0</v>
      </c>
      <c r="H79" s="23" t="s">
        <v>7</v>
      </c>
      <c r="I79" s="24">
        <f>IF('ENCODAGE DE MON PROJET'!E53="Classe I",4000,IF('ENCODAGE DE MON PROJET'!E53="Classe II",4750,IF('ENCODAGE DE MON PROJET'!E53="Classe III",5000)))</f>
        <v>4000</v>
      </c>
      <c r="J79" s="23"/>
      <c r="K79" s="1" t="s">
        <v>8</v>
      </c>
      <c r="L79" s="47">
        <f>I79*F79</f>
        <v>0</v>
      </c>
      <c r="M79" s="23"/>
      <c r="N79" s="56"/>
      <c r="O79" s="23"/>
    </row>
    <row r="80" spans="3:15" ht="14.4">
      <c r="C80" s="60"/>
      <c r="F80" s="81"/>
      <c r="G80" s="23"/>
      <c r="H80" s="23"/>
      <c r="I80" s="24"/>
      <c r="J80" s="23"/>
      <c r="L80" s="47"/>
      <c r="M80" s="23"/>
    </row>
    <row r="81" spans="2:20" ht="14.4">
      <c r="C81" s="65" t="s">
        <v>260</v>
      </c>
      <c r="D81" s="43" t="s">
        <v>261</v>
      </c>
      <c r="E81" s="43"/>
      <c r="F81"/>
      <c r="G81" s="23"/>
      <c r="H81"/>
      <c r="I81"/>
      <c r="L81" s="46"/>
    </row>
    <row r="82" spans="2:20" ht="14.4">
      <c r="C82" s="60" t="s">
        <v>223</v>
      </c>
      <c r="D82" s="42" t="s">
        <v>262</v>
      </c>
      <c r="E82" s="42"/>
      <c r="F82" s="22">
        <f>IF('ENCODAGE DE MON PROJET'!E371="OUI",IF(AND('ENCODAGE DE MON PROJET'!E251="OUI",'ENCODAGE DE MON PROJET'!E372="C (simple flux)"),1,0),0)</f>
        <v>0</v>
      </c>
      <c r="G82" s="23" t="s">
        <v>0</v>
      </c>
      <c r="H82" s="23" t="s">
        <v>7</v>
      </c>
      <c r="I82" s="24">
        <f>IF('ENCODAGE DE MON PROJET'!E53="Classe I",1550,IF('ENCODAGE DE MON PROJET'!E53="Classe II",1950,IF('ENCODAGE DE MON PROJET'!E53="Classe III",2230)))</f>
        <v>1550</v>
      </c>
      <c r="J82" s="23"/>
      <c r="K82" s="1" t="s">
        <v>8</v>
      </c>
      <c r="L82" s="47">
        <f>I82*F82</f>
        <v>0</v>
      </c>
      <c r="M82" s="23"/>
      <c r="N82" s="56"/>
      <c r="O82" s="23"/>
    </row>
    <row r="83" spans="2:20" ht="14.4">
      <c r="C83" s="60" t="s">
        <v>223</v>
      </c>
      <c r="D83" s="42" t="s">
        <v>263</v>
      </c>
      <c r="E83" s="42"/>
      <c r="F83" s="22">
        <f>IF(AND('ENCODAGE DE MON PROJET'!E371="OUI",'ENCODAGE DE MON PROJET'!E372="D (double flux)"),1,0)</f>
        <v>0</v>
      </c>
      <c r="G83" s="23" t="s">
        <v>0</v>
      </c>
      <c r="H83" s="23" t="s">
        <v>7</v>
      </c>
      <c r="I83" s="24">
        <f>IF('ENCODAGE DE MON PROJET'!E53="Classe I",3000,IF('ENCODAGE DE MON PROJET'!E53="Classe II",3750,IF('ENCODAGE DE MON PROJET'!E53="Classe III",4300)))</f>
        <v>3000</v>
      </c>
      <c r="J83" s="23"/>
      <c r="K83" s="1" t="s">
        <v>8</v>
      </c>
      <c r="L83" s="47">
        <f>I83*F83</f>
        <v>0</v>
      </c>
      <c r="M83" s="23"/>
      <c r="N83" s="56"/>
      <c r="O83" s="23"/>
    </row>
    <row r="84" spans="2:20" ht="14.4">
      <c r="D84" s="42"/>
      <c r="E84" s="42"/>
      <c r="F84"/>
      <c r="G84"/>
      <c r="H84"/>
      <c r="I84"/>
      <c r="L84" s="48"/>
      <c r="M84" s="23"/>
    </row>
    <row r="85" spans="2:20" ht="14.4">
      <c r="D85" s="139" t="s">
        <v>419</v>
      </c>
      <c r="E85" s="43"/>
      <c r="F85"/>
      <c r="G85"/>
      <c r="H85"/>
      <c r="I85"/>
      <c r="L85" s="48"/>
      <c r="M85" s="23"/>
    </row>
    <row r="86" spans="2:20" ht="14.4">
      <c r="D86" s="112" t="s">
        <v>280</v>
      </c>
      <c r="E86" s="43"/>
      <c r="F86"/>
      <c r="G86"/>
      <c r="H86"/>
      <c r="I86"/>
      <c r="L86" s="48"/>
      <c r="M86" s="23"/>
    </row>
    <row r="87" spans="2:20" ht="15" thickBot="1">
      <c r="C87" s="93"/>
      <c r="D87" s="94"/>
      <c r="E87" s="95"/>
      <c r="F87" s="96"/>
      <c r="G87" s="23"/>
      <c r="H87" s="97"/>
      <c r="I87" s="98"/>
      <c r="J87" s="97"/>
      <c r="K87" s="97"/>
      <c r="L87" s="99"/>
      <c r="M87" s="23"/>
    </row>
    <row r="88" spans="2:20" s="3" customFormat="1" ht="14.4" thickBot="1">
      <c r="B88" s="37"/>
      <c r="C88" s="37"/>
      <c r="D88" s="31" t="s">
        <v>264</v>
      </c>
      <c r="E88" s="33"/>
      <c r="F88" s="33"/>
      <c r="G88" s="33"/>
      <c r="H88" s="33"/>
      <c r="I88" s="33"/>
      <c r="J88" s="33"/>
      <c r="K88" s="33"/>
      <c r="L88" s="49">
        <f>IF(SUM(L13:L83)&gt;50000,50000,SUM(L13:L83))</f>
        <v>0</v>
      </c>
      <c r="M88" s="40" t="s">
        <v>5</v>
      </c>
      <c r="P88" s="1"/>
      <c r="R88" s="1"/>
      <c r="S88" s="1"/>
      <c r="T88" s="1"/>
    </row>
    <row r="89" spans="2:20" ht="14.4">
      <c r="C89" s="93"/>
      <c r="D89" s="94"/>
      <c r="E89" s="95"/>
      <c r="F89" s="96"/>
      <c r="G89" s="95"/>
      <c r="H89" s="97"/>
      <c r="I89" s="98"/>
      <c r="J89" s="97"/>
      <c r="K89" s="97"/>
      <c r="L89" s="99"/>
      <c r="M89" s="23"/>
    </row>
    <row r="91" spans="2:20" ht="14.4">
      <c r="D91" s="135" t="s">
        <v>405</v>
      </c>
      <c r="E91" s="80"/>
      <c r="F91" s="41"/>
      <c r="T91" s="3"/>
    </row>
    <row r="92" spans="2:20" ht="14.4">
      <c r="D92" s="136" t="s">
        <v>404</v>
      </c>
      <c r="E92" s="80"/>
      <c r="F92" s="41"/>
    </row>
    <row r="93" spans="2:20" ht="14.4">
      <c r="D93" s="136"/>
      <c r="E93" s="80"/>
      <c r="F93" s="41"/>
    </row>
  </sheetData>
  <sheetProtection algorithmName="SHA-512" hashValue="r/NMbPVh4C/0ktFBQsXsSsfYOAj4KklALsriOcOBOT+GC4WTO8MVeZjw73Xp4CCIPH+o5njR5wJKXlScmpSeVw==" saltValue="IBSbWBdZdJslGK2opzf7Ew==" spinCount="100000" sheet="1" objects="1" scenarios="1" selectLockedCells="1"/>
  <hyperlinks>
    <hyperlink ref="D86" r:id="rId1"/>
    <hyperlink ref="D92" r:id="rId2"/>
  </hyperlinks>
  <pageMargins left="0.23622047244094488" right="0.23622047244094488" top="0.23622047244094488" bottom="0.23622047244094488" header="0.31496062992125984" footer="0.31496062992125984"/>
  <pageSetup paperSize="9" scale="77" fitToHeight="0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6</vt:i4>
      </vt:variant>
    </vt:vector>
  </HeadingPairs>
  <TitlesOfParts>
    <vt:vector size="10" baseType="lpstr">
      <vt:lpstr>INTRODUCTION</vt:lpstr>
      <vt:lpstr>ENCODAGE DE MON PROJET</vt:lpstr>
      <vt:lpstr>ESTIMATIF</vt:lpstr>
      <vt:lpstr>PRIMES</vt:lpstr>
      <vt:lpstr>'ENCODAGE DE MON PROJET'!Impression_des_titres</vt:lpstr>
      <vt:lpstr>INTRODUCTION!Impression_des_titres</vt:lpstr>
      <vt:lpstr>'ENCODAGE DE MON PROJET'!Zone_d_impression</vt:lpstr>
      <vt:lpstr>ESTIMATIF!Zone_d_impression</vt:lpstr>
      <vt:lpstr>INTRODUCTION!Zone_d_impression</vt:lpstr>
      <vt:lpstr>PRIMES!Zone_d_impression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 UP! architects</dc:creator>
  <cp:lastModifiedBy>Jules</cp:lastModifiedBy>
  <cp:lastPrinted>2023-11-20T11:22:08Z</cp:lastPrinted>
  <dcterms:created xsi:type="dcterms:W3CDTF">2019-12-06T11:45:21Z</dcterms:created>
  <dcterms:modified xsi:type="dcterms:W3CDTF">2023-11-23T15:43:18Z</dcterms:modified>
</cp:coreProperties>
</file>